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ALIENAÇÃO\DL-034.26 - Alienação de Bens\01 - Cotação Preços - Pesq. Mercado\"/>
    </mc:Choice>
  </mc:AlternateContent>
  <xr:revisionPtr revIDLastSave="0" documentId="8_{A8651DFD-7B0F-4D35-8DF0-842955F1B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  <sheet name="Comparativo" sheetId="3" r:id="rId2"/>
    <sheet name="Resposta" sheetId="6" state="hidden" r:id="rId3"/>
    <sheet name="NÃO EXLUIR" sheetId="5" state="hidden" r:id="rId4"/>
  </sheets>
  <definedNames>
    <definedName name="_xlnm.Print_Area" localSheetId="1">Comparativo!$A$1:$K$57</definedName>
    <definedName name="_xlnm.Print_Area" localSheetId="0">Cotação!$A$1:$L$49</definedName>
    <definedName name="_xlnm.Print_Area" localSheetId="2">Resposta!$A$1:$K$31</definedName>
    <definedName name="OLE_LINK1" localSheetId="0">Cotação!$D$9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3" l="1"/>
  <c r="I27" i="3"/>
  <c r="G27" i="3"/>
  <c r="E27" i="3"/>
  <c r="K26" i="3"/>
  <c r="I26" i="3"/>
  <c r="G26" i="3"/>
  <c r="G28" i="3" s="1"/>
  <c r="E26" i="3"/>
  <c r="E28" i="3" s="1"/>
  <c r="E21" i="3"/>
  <c r="E19" i="3"/>
  <c r="E20" i="3"/>
  <c r="A47" i="2"/>
  <c r="I28" i="3" l="1"/>
  <c r="K28" i="3"/>
  <c r="E22" i="3"/>
  <c r="G20" i="3"/>
  <c r="G21" i="3"/>
  <c r="G19" i="3"/>
  <c r="C5" i="6"/>
  <c r="C5" i="3"/>
  <c r="G22" i="3" l="1"/>
  <c r="A31" i="2"/>
  <c r="I19" i="3" l="1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5" i="3" l="1"/>
  <c r="G5" i="6" l="1"/>
  <c r="G5" i="3"/>
  <c r="K33" i="3"/>
  <c r="I33" i="3" l="1"/>
  <c r="E33" i="3"/>
  <c r="K21" i="3"/>
  <c r="I21" i="3"/>
  <c r="G33" i="3"/>
  <c r="K35" i="3"/>
  <c r="G35" i="3" l="1"/>
  <c r="I35" i="3"/>
  <c r="E35" i="3"/>
  <c r="L90" i="2"/>
  <c r="A29" i="6" l="1"/>
  <c r="I20" i="3" l="1"/>
  <c r="I22" i="3" s="1"/>
  <c r="A56" i="3" l="1"/>
  <c r="A30" i="6" l="1"/>
  <c r="D90" i="5"/>
  <c r="D89" i="5"/>
  <c r="D88" i="5"/>
  <c r="D87" i="5"/>
  <c r="B95" i="2" l="1"/>
  <c r="K2" i="2"/>
  <c r="B91" i="2"/>
  <c r="C90" i="2"/>
  <c r="B94" i="2"/>
  <c r="B93" i="2"/>
  <c r="B92" i="2"/>
  <c r="D11" i="6"/>
  <c r="C11" i="6"/>
  <c r="B97" i="2" l="1"/>
  <c r="B98" i="2"/>
  <c r="A92" i="2"/>
  <c r="A90" i="2"/>
  <c r="A91" i="2"/>
  <c r="B90" i="2" s="1"/>
  <c r="B11" i="6"/>
  <c r="K20" i="3"/>
  <c r="K19" i="3" l="1"/>
  <c r="K22" i="3" s="1"/>
  <c r="J2" i="6" l="1"/>
  <c r="A5" i="6" s="1"/>
  <c r="J2" i="3"/>
  <c r="A5" i="3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<sst xmlns="http://schemas.openxmlformats.org/spreadsheetml/2006/main" count="268" uniqueCount="151">
  <si>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</si>
  <si>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</si>
  <si>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</si>
  <si>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</si>
  <si>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</si>
  <si>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</si>
  <si>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</si>
  <si>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</si>
  <si>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</si>
  <si>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</si>
  <si>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</si>
  <si>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</si>
  <si>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</si>
  <si>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</si>
  <si>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</si>
  <si>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</si>
  <si>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</si>
  <si>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</si>
  <si>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</si>
  <si>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</si>
  <si>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</si>
  <si>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</si>
  <si>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</si>
  <si>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</si>
  <si>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</si>
  <si>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</si>
  <si>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</si>
  <si>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</si>
  <si>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</si>
  <si>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</si>
  <si>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</si>
  <si>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</si>
  <si>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</si>
  <si>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</si>
  <si>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</si>
  <si>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</si>
  <si>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</si>
  <si>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</si>
  <si>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Empresas que apresentaram propostas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</si>
  <si>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</si>
  <si>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</si>
  <si>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</si>
  <si>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</si>
  <si>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</si>
  <si>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</si>
  <si>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</si>
  <si>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</si>
  <si>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</si>
  <si>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</si>
  <si>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</si>
  <si>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</si>
  <si>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</si>
  <si>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</si>
  <si>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</si>
  <si>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</si>
  <si>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</si>
  <si>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</si>
  <si>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</si>
  <si>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</si>
  <si>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</si>
  <si>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</si>
  <si>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</si>
  <si>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</si>
  <si>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</si>
  <si>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</si>
  <si>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</si>
  <si>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</si>
  <si>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</si>
  <si>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</si>
  <si>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</si>
  <si>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</si>
  <si>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</si>
  <si>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</si>
  <si>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</si>
  <si>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</si>
  <si>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</si>
  <si>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</si>
  <si>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</si>
  <si>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</si>
  <si>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</si>
  <si>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</si>
  <si>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</si>
  <si>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</si>
  <si>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</si>
  <si>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</si>
  <si>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</si>
  <si>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</si>
  <si>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</si>
  <si>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</si>
  <si>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</si>
  <si>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</si>
  <si>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</si>
  <si>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</si>
  <si>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</si>
  <si>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</si>
  <si>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Empresa</t>
  </si>
  <si>
    <t xml:space="preserve"> </t>
  </si>
  <si>
    <t>Analista do Processo - Encaminhar a Cotação com os Preços para o e-mail abaixo:</t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</si>
  <si>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</si>
  <si>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</si>
  <si>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</si>
  <si>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</si>
  <si>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</si>
  <si>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</si>
  <si>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</si>
  <si>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</si>
  <si>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</si>
  <si>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</si>
  <si>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</si>
  <si>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</si>
  <si>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</si>
  <si>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</si>
  <si>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</si>
  <si>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</si>
  <si>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</si>
  <si>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</si>
  <si>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</si>
  <si>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</si>
  <si>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</si>
  <si>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</si>
  <si>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</si>
  <si>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Thiago Alves</t>
  </si>
  <si>
    <t>Relação de Materiais Inservíveis – Lotes 01, 02 e 03</t>
  </si>
  <si>
    <t>Preço Unitário Mínimo (R$)</t>
  </si>
  <si>
    <t>VALOR TOTAL PROPOSTO LOTE 01:</t>
  </si>
  <si>
    <t>LOTE 02 - Equipamentos Diversos</t>
  </si>
  <si>
    <t>VALOR TOTAL PROPOSTO LOTE 02:</t>
  </si>
  <si>
    <t>LOTE 03 - Materiais Metálicos (sucata ferrosa)</t>
  </si>
  <si>
    <t>Kg</t>
  </si>
  <si>
    <t>VALOR TOTAL PROPOSTO LOTE 03:</t>
  </si>
  <si>
    <r>
      <t>Prezados Senhores, solicitamos a gentileza de nos encaminhar proposta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para os seguintes </t>
    </r>
  </si>
  <si>
    <t>Forma de retirada</t>
  </si>
  <si>
    <t>Retirada por conta do Comprador</t>
  </si>
  <si>
    <t>90 dias</t>
  </si>
  <si>
    <t>Endereço de retirada</t>
  </si>
  <si>
    <t xml:space="preserve"> A empresa Paulo Roberto Duarte EPP apresentou a melhor proposta para o Lote 02, no valor total de R$ 2.845,00, o qual está compatível com o valor estimado. A empresa Cleosmarilde da Silva ME apresentou a melhor proposta para o Lote 03, no valor total de R$ 21.280,20.</t>
  </si>
  <si>
    <t>Análise das Propostas</t>
  </si>
  <si>
    <t>034/2026</t>
  </si>
  <si>
    <t>LOTE 01 -Equipamentos diversos</t>
  </si>
  <si>
    <t>Equipamentos de Ar Condicionado</t>
  </si>
  <si>
    <t>Bebedouros de garrafão coluna</t>
  </si>
  <si>
    <t>Desumidificador de ambiente</t>
  </si>
  <si>
    <t>VALOR TOTAL MÍNIMO LOTE 01: R$ 1.575,00</t>
  </si>
  <si>
    <t>LOTE 02 -Equipamentos de Informática</t>
  </si>
  <si>
    <t>Access Point</t>
  </si>
  <si>
    <t>Central Telefônica</t>
  </si>
  <si>
    <t>VALOR TOTAL MÍNIMO LOTE 02: R$ 30.000,00</t>
  </si>
  <si>
    <t>LOTE 03 -Materiais metálicos (sucata ferrosa)</t>
  </si>
  <si>
    <t>Estações de Gás Natural</t>
  </si>
  <si>
    <t>VALOR TOTAL MÍNIMO LOTE 03: R$ 6.232,50</t>
  </si>
  <si>
    <t>LOTE 02 - Equipamentos de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</si>
</sst>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5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Alignment="1" applyProtection="1">
      <alignment vertical="top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32" xfId="0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3" borderId="11" xfId="0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Border="1" applyAlignment="1" applyProtection="1">
      <alignment horizontal="center" vertical="center"/>
      <protection locked="0"/>
    </xf>
    <xf numFmtId="4" fontId="0" fillId="0" borderId="2" xfId="0" applyNumberFormat="1" applyBorder="1" applyProtection="1"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8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8" xfId="0" applyNumberFormat="1" applyBorder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0" fontId="9" fillId="0" borderId="12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0" fillId="3" borderId="33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right"/>
      <protection locked="0"/>
    </xf>
    <xf numFmtId="1" fontId="24" fillId="0" borderId="0" xfId="0" applyNumberFormat="1" applyFont="1" applyAlignment="1" applyProtection="1">
      <alignment horizontal="center"/>
      <protection locked="0"/>
    </xf>
    <xf numFmtId="0" fontId="18" fillId="4" borderId="0" xfId="0" applyFont="1" applyFill="1" applyProtection="1"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1" fillId="0" borderId="14" xfId="0" applyFont="1" applyBorder="1"/>
    <xf numFmtId="0" fontId="25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6" fillId="0" borderId="14" xfId="0" applyFont="1" applyBorder="1"/>
    <xf numFmtId="0" fontId="20" fillId="0" borderId="0" xfId="0" applyFont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165" fontId="1" fillId="0" borderId="20" xfId="0" applyNumberFormat="1" applyFont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165" fontId="1" fillId="0" borderId="48" xfId="0" applyNumberFormat="1" applyFont="1" applyBorder="1" applyProtection="1">
      <protection locked="0"/>
    </xf>
    <xf numFmtId="0" fontId="21" fillId="3" borderId="42" xfId="0" applyFont="1" applyFill="1" applyBorder="1" applyAlignment="1" applyProtection="1">
      <alignment horizontal="center"/>
      <protection locked="0"/>
    </xf>
    <xf numFmtId="0" fontId="0" fillId="3" borderId="32" xfId="0" applyFill="1" applyBorder="1"/>
    <xf numFmtId="0" fontId="0" fillId="3" borderId="33" xfId="0" applyFill="1" applyBorder="1"/>
    <xf numFmtId="0" fontId="1" fillId="3" borderId="33" xfId="0" applyFont="1" applyFill="1" applyBorder="1"/>
    <xf numFmtId="0" fontId="1" fillId="3" borderId="33" xfId="0" applyFont="1" applyFill="1" applyBorder="1" applyAlignment="1">
      <alignment horizontal="center"/>
    </xf>
    <xf numFmtId="0" fontId="0" fillId="3" borderId="24" xfId="0" applyFill="1" applyBorder="1"/>
    <xf numFmtId="0" fontId="17" fillId="0" borderId="5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5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4" fontId="0" fillId="0" borderId="4" xfId="0" applyNumberFormat="1" applyBorder="1" applyAlignment="1" applyProtection="1">
      <alignment vertical="top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vertical="center" wrapText="1"/>
      <protection locked="0"/>
    </xf>
    <xf numFmtId="3" fontId="3" fillId="0" borderId="2" xfId="0" applyNumberFormat="1" applyFont="1" applyBorder="1" applyAlignment="1">
      <alignment horizontal="center" vertical="center"/>
    </xf>
    <xf numFmtId="0" fontId="9" fillId="0" borderId="14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6" fillId="0" borderId="25" xfId="0" applyFont="1" applyBorder="1" applyAlignment="1" applyProtection="1">
      <alignment horizontal="center" vertical="top" wrapText="1"/>
      <protection locked="0"/>
    </xf>
    <xf numFmtId="3" fontId="5" fillId="0" borderId="9" xfId="0" applyNumberFormat="1" applyFont="1" applyBorder="1" applyAlignment="1" applyProtection="1">
      <alignment horizontal="right" vertical="top" wrapText="1"/>
      <protection locked="0"/>
    </xf>
    <xf numFmtId="0" fontId="5" fillId="0" borderId="9" xfId="0" applyFont="1" applyBorder="1" applyAlignment="1" applyProtection="1">
      <alignment horizontal="right" vertical="top" wrapText="1"/>
      <protection locked="0"/>
    </xf>
    <xf numFmtId="4" fontId="0" fillId="0" borderId="9" xfId="0" applyNumberFormat="1" applyBorder="1" applyProtection="1">
      <protection locked="0"/>
    </xf>
    <xf numFmtId="4" fontId="3" fillId="0" borderId="9" xfId="0" applyNumberFormat="1" applyFont="1" applyBorder="1" applyProtection="1">
      <protection locked="0"/>
    </xf>
    <xf numFmtId="4" fontId="3" fillId="0" borderId="26" xfId="0" applyNumberFormat="1" applyFont="1" applyBorder="1" applyProtection="1">
      <protection locked="0"/>
    </xf>
    <xf numFmtId="0" fontId="6" fillId="0" borderId="55" xfId="0" applyFont="1" applyBorder="1" applyAlignment="1" applyProtection="1">
      <alignment horizontal="center" vertical="top" wrapText="1"/>
      <protection locked="0"/>
    </xf>
    <xf numFmtId="3" fontId="5" fillId="0" borderId="8" xfId="0" applyNumberFormat="1" applyFont="1" applyBorder="1" applyAlignment="1" applyProtection="1">
      <alignment horizontal="right" vertical="top" wrapText="1"/>
      <protection locked="0"/>
    </xf>
    <xf numFmtId="0" fontId="5" fillId="0" borderId="8" xfId="0" applyFont="1" applyBorder="1" applyAlignment="1" applyProtection="1">
      <alignment horizontal="right" vertical="top" wrapText="1"/>
      <protection locked="0"/>
    </xf>
    <xf numFmtId="4" fontId="1" fillId="0" borderId="8" xfId="0" applyNumberFormat="1" applyFont="1" applyBorder="1" applyAlignment="1" applyProtection="1">
      <alignment horizontal="center"/>
      <protection locked="0"/>
    </xf>
    <xf numFmtId="4" fontId="14" fillId="0" borderId="56" xfId="0" applyNumberFormat="1" applyFont="1" applyBorder="1" applyAlignment="1" applyProtection="1">
      <alignment horizontal="center"/>
      <protection locked="0"/>
    </xf>
    <xf numFmtId="0" fontId="6" fillId="4" borderId="36" xfId="0" applyFont="1" applyFill="1" applyBorder="1" applyAlignment="1" applyProtection="1">
      <alignment horizontal="center" vertical="top" wrapText="1"/>
      <protection locked="0"/>
    </xf>
    <xf numFmtId="3" fontId="5" fillId="4" borderId="37" xfId="0" applyNumberFormat="1" applyFont="1" applyFill="1" applyBorder="1" applyAlignment="1" applyProtection="1">
      <alignment horizontal="right" vertical="top" wrapText="1"/>
      <protection locked="0"/>
    </xf>
    <xf numFmtId="0" fontId="5" fillId="4" borderId="37" xfId="0" applyFont="1" applyFill="1" applyBorder="1" applyAlignment="1" applyProtection="1">
      <alignment horizontal="right" vertical="top" wrapText="1"/>
      <protection locked="0"/>
    </xf>
    <xf numFmtId="0" fontId="0" fillId="4" borderId="37" xfId="0" applyFill="1" applyBorder="1" applyAlignment="1" applyProtection="1">
      <alignment horizontal="center"/>
      <protection locked="0"/>
    </xf>
    <xf numFmtId="4" fontId="1" fillId="4" borderId="37" xfId="0" applyNumberFormat="1" applyFont="1" applyFill="1" applyBorder="1" applyAlignment="1" applyProtection="1">
      <alignment horizontal="center"/>
      <protection locked="0"/>
    </xf>
    <xf numFmtId="4" fontId="14" fillId="4" borderId="38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7" fillId="4" borderId="36" xfId="0" applyFont="1" applyFill="1" applyBorder="1" applyAlignment="1">
      <alignment horizontal="left" vertical="center" wrapText="1"/>
    </xf>
    <xf numFmtId="0" fontId="27" fillId="4" borderId="37" xfId="0" applyFont="1" applyFill="1" applyBorder="1" applyAlignment="1">
      <alignment horizontal="left" vertical="center" wrapText="1"/>
    </xf>
    <xf numFmtId="0" fontId="27" fillId="4" borderId="38" xfId="0" applyFont="1" applyFill="1" applyBorder="1" applyAlignment="1">
      <alignment horizontal="left" vertical="center" wrapText="1"/>
    </xf>
    <xf numFmtId="0" fontId="1" fillId="0" borderId="36" xfId="0" applyFont="1" applyBorder="1" applyAlignment="1">
      <alignment horizontal="left" wrapText="1"/>
    </xf>
    <xf numFmtId="0" fontId="1" fillId="0" borderId="37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1" fillId="4" borderId="14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0" fontId="23" fillId="3" borderId="36" xfId="0" applyFont="1" applyFill="1" applyBorder="1" applyAlignment="1" applyProtection="1">
      <alignment horizontal="center" vertical="center"/>
      <protection locked="0"/>
    </xf>
    <xf numFmtId="0" fontId="23" fillId="3" borderId="37" xfId="0" applyFont="1" applyFill="1" applyBorder="1" applyAlignment="1" applyProtection="1">
      <alignment horizontal="center" vertical="center"/>
      <protection locked="0"/>
    </xf>
    <xf numFmtId="0" fontId="23" fillId="3" borderId="38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0" fontId="19" fillId="2" borderId="22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14" fontId="10" fillId="0" borderId="17" xfId="0" applyNumberFormat="1" applyFont="1" applyBorder="1" applyAlignment="1" applyProtection="1">
      <alignment horizontal="center"/>
      <protection locked="0"/>
    </xf>
    <xf numFmtId="14" fontId="10" fillId="0" borderId="18" xfId="0" applyNumberFormat="1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14" fontId="9" fillId="0" borderId="16" xfId="0" applyNumberFormat="1" applyFont="1" applyBorder="1" applyAlignment="1" applyProtection="1">
      <alignment horizontal="center"/>
      <protection locked="0"/>
    </xf>
    <xf numFmtId="14" fontId="9" fillId="0" borderId="17" xfId="0" applyNumberFormat="1" applyFont="1" applyBorder="1" applyAlignment="1" applyProtection="1">
      <alignment horizontal="center"/>
      <protection locked="0"/>
    </xf>
    <xf numFmtId="14" fontId="9" fillId="0" borderId="18" xfId="0" applyNumberFormat="1" applyFont="1" applyBorder="1" applyAlignment="1" applyProtection="1">
      <alignment horizontal="center"/>
      <protection locked="0"/>
    </xf>
    <xf numFmtId="0" fontId="10" fillId="0" borderId="37" xfId="0" applyFont="1" applyBorder="1" applyAlignment="1" applyProtection="1">
      <alignment horizontal="left"/>
      <protection locked="0"/>
    </xf>
    <xf numFmtId="0" fontId="10" fillId="0" borderId="38" xfId="0" applyFont="1" applyBorder="1" applyAlignment="1" applyProtection="1">
      <alignment horizontal="left"/>
      <protection locked="0"/>
    </xf>
    <xf numFmtId="0" fontId="10" fillId="0" borderId="49" xfId="0" applyFont="1" applyBorder="1" applyAlignment="1" applyProtection="1">
      <alignment horizontal="left" vertical="center"/>
      <protection locked="0"/>
    </xf>
    <xf numFmtId="0" fontId="10" fillId="0" borderId="50" xfId="0" applyFont="1" applyBorder="1" applyAlignment="1" applyProtection="1">
      <alignment horizontal="left" vertical="center"/>
      <protection locked="0"/>
    </xf>
    <xf numFmtId="0" fontId="10" fillId="0" borderId="53" xfId="0" applyFont="1" applyBorder="1" applyAlignment="1" applyProtection="1">
      <alignment horizontal="left" vertical="center"/>
      <protection locked="0"/>
    </xf>
    <xf numFmtId="0" fontId="10" fillId="0" borderId="54" xfId="0" applyFont="1" applyBorder="1" applyAlignment="1" applyProtection="1">
      <alignment horizontal="left" vertical="center" wrapText="1"/>
      <protection locked="0"/>
    </xf>
    <xf numFmtId="0" fontId="10" fillId="0" borderId="50" xfId="0" applyFont="1" applyBorder="1" applyAlignment="1" applyProtection="1">
      <alignment horizontal="left" vertical="center" wrapText="1"/>
      <protection locked="0"/>
    </xf>
    <xf numFmtId="0" fontId="19" fillId="4" borderId="0" xfId="0" applyFont="1" applyFill="1" applyAlignment="1" applyProtection="1">
      <alignment horizontal="left"/>
      <protection locked="0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 applyProtection="1">
      <alignment horizontal="center" vertical="center"/>
      <protection locked="0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ill="1" applyBorder="1" applyAlignment="1" applyProtection="1">
      <alignment horizontal="center"/>
      <protection locked="0"/>
    </xf>
    <xf numFmtId="164" fontId="0" fillId="4" borderId="18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1" fillId="3" borderId="37" xfId="0" applyFont="1" applyFill="1" applyBorder="1" applyAlignment="1" applyProtection="1">
      <alignment horizontal="center"/>
      <protection locked="0"/>
    </xf>
    <xf numFmtId="0" fontId="1" fillId="3" borderId="38" xfId="0" applyFont="1" applyFill="1" applyBorder="1" applyAlignment="1" applyProtection="1">
      <alignment horizontal="center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S101"/>
  <sheetViews>
    <sheetView showGridLines="0" tabSelected="1" view="pageBreakPreview" zoomScaleNormal="100" zoomScaleSheetLayoutView="100" workbookViewId="0">
      <selection activeCell="Q14" sqref="Q14"/>
    </sheetView>
  </sheetViews>
  <sheetFormatPr defaultColWidth="9.140625" defaultRowHeight="15" x14ac:dyDescent="0.25"/>
  <cols>
    <col min="1" max="3" width="8.85546875" style="5" customWidth="1"/>
    <col min="4" max="5" width="9.28515625" style="5" customWidth="1"/>
    <col min="6" max="6" width="12.140625" style="5" customWidth="1"/>
    <col min="7" max="7" width="5" style="5" customWidth="1"/>
    <col min="8" max="8" width="6.5703125" style="5" customWidth="1"/>
    <col min="9" max="9" width="15.5703125" style="5" customWidth="1"/>
    <col min="10" max="10" width="15.140625" style="5" customWidth="1"/>
    <col min="11" max="12" width="12.28515625" style="5" customWidth="1"/>
    <col min="13" max="16384" width="9.140625" style="5"/>
  </cols>
  <sheetData>
    <row r="1" spans="1:12" ht="22.5" customHeight="1" x14ac:dyDescent="0.25">
      <c r="H1" s="6"/>
    </row>
    <row r="2" spans="1:12" ht="22.5" customHeight="1" thickBot="1" x14ac:dyDescent="0.35">
      <c r="I2" s="73" t="s">
        <v>23</v>
      </c>
      <c r="J2" s="73"/>
      <c r="K2" s="74" t="str">
        <f>A4</f>
        <v>034/2026</v>
      </c>
    </row>
    <row r="3" spans="1:12" s="10" customFormat="1" ht="19.5" customHeight="1" x14ac:dyDescent="0.25">
      <c r="A3" s="186" t="s">
        <v>0</v>
      </c>
      <c r="B3" s="187"/>
      <c r="C3" s="191" t="s">
        <v>109</v>
      </c>
      <c r="D3" s="192"/>
      <c r="E3" s="192"/>
      <c r="F3" s="192"/>
      <c r="G3" s="193"/>
      <c r="H3" s="188" t="s">
        <v>110</v>
      </c>
      <c r="I3" s="188"/>
      <c r="J3" s="188"/>
      <c r="K3" s="188"/>
      <c r="L3" s="187"/>
    </row>
    <row r="4" spans="1:12" ht="15.75" customHeight="1" thickBot="1" x14ac:dyDescent="0.3">
      <c r="A4" s="184" t="s">
        <v>137</v>
      </c>
      <c r="B4" s="185"/>
      <c r="C4" s="194">
        <v>46169</v>
      </c>
      <c r="D4" s="195"/>
      <c r="E4" s="195"/>
      <c r="F4" s="195"/>
      <c r="G4" s="196"/>
      <c r="H4" s="189">
        <v>46185</v>
      </c>
      <c r="I4" s="189"/>
      <c r="J4" s="189"/>
      <c r="K4" s="189"/>
      <c r="L4" s="190"/>
    </row>
    <row r="5" spans="1:12" ht="22.5" customHeight="1" thickBot="1" x14ac:dyDescent="0.3">
      <c r="A5" s="122" t="s">
        <v>130</v>
      </c>
      <c r="C5" s="84"/>
      <c r="D5" s="84"/>
      <c r="E5" s="84"/>
      <c r="F5" s="84"/>
      <c r="G5" s="84"/>
      <c r="H5" s="84"/>
      <c r="J5" s="197" t="s">
        <v>85</v>
      </c>
      <c r="K5" s="197"/>
      <c r="L5" s="198"/>
    </row>
    <row r="6" spans="1:12" ht="21" customHeight="1" thickBot="1" x14ac:dyDescent="0.3">
      <c r="A6" s="173" t="s">
        <v>138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5"/>
    </row>
    <row r="7" spans="1:12" ht="15" customHeight="1" x14ac:dyDescent="0.25">
      <c r="A7" s="159" t="s">
        <v>1</v>
      </c>
      <c r="B7" s="161" t="s">
        <v>24</v>
      </c>
      <c r="C7" s="157" t="s">
        <v>86</v>
      </c>
      <c r="D7" s="176" t="s">
        <v>102</v>
      </c>
      <c r="E7" s="177"/>
      <c r="F7" s="177"/>
      <c r="G7" s="177"/>
      <c r="H7" s="178"/>
      <c r="I7" s="157" t="s">
        <v>118</v>
      </c>
      <c r="J7" s="157" t="s">
        <v>123</v>
      </c>
      <c r="K7" s="149" t="s">
        <v>2</v>
      </c>
      <c r="L7" s="150"/>
    </row>
    <row r="8" spans="1:12" ht="19.5" customHeight="1" x14ac:dyDescent="0.25">
      <c r="A8" s="160"/>
      <c r="B8" s="162"/>
      <c r="C8" s="158"/>
      <c r="D8" s="179"/>
      <c r="E8" s="180"/>
      <c r="F8" s="180"/>
      <c r="G8" s="180"/>
      <c r="H8" s="181"/>
      <c r="I8" s="158"/>
      <c r="J8" s="158"/>
      <c r="K8" s="53" t="s">
        <v>119</v>
      </c>
      <c r="L8" s="52" t="s">
        <v>3</v>
      </c>
    </row>
    <row r="9" spans="1:12" ht="29.25" customHeight="1" x14ac:dyDescent="0.25">
      <c r="A9" s="38">
        <v>1</v>
      </c>
      <c r="B9" s="115">
        <v>31</v>
      </c>
      <c r="C9" s="111" t="s">
        <v>86</v>
      </c>
      <c r="D9" s="166" t="s">
        <v>139</v>
      </c>
      <c r="E9" s="167"/>
      <c r="F9" s="167"/>
      <c r="G9" s="167"/>
      <c r="H9" s="168"/>
      <c r="I9" s="182" t="s">
        <v>122</v>
      </c>
      <c r="J9" s="119">
        <v>35</v>
      </c>
      <c r="K9" s="57"/>
      <c r="L9" s="58"/>
    </row>
    <row r="10" spans="1:12" ht="29.25" customHeight="1" x14ac:dyDescent="0.25">
      <c r="A10" s="38">
        <v>2</v>
      </c>
      <c r="B10" s="115">
        <v>5</v>
      </c>
      <c r="C10" s="111" t="s">
        <v>86</v>
      </c>
      <c r="D10" s="166" t="s">
        <v>140</v>
      </c>
      <c r="E10" s="167"/>
      <c r="F10" s="167"/>
      <c r="G10" s="167"/>
      <c r="H10" s="168"/>
      <c r="I10" s="183"/>
      <c r="J10" s="119">
        <v>90</v>
      </c>
      <c r="K10" s="59"/>
      <c r="L10" s="60"/>
    </row>
    <row r="11" spans="1:12" ht="29.25" customHeight="1" x14ac:dyDescent="0.25">
      <c r="A11" s="38">
        <v>3</v>
      </c>
      <c r="B11" s="115">
        <v>1</v>
      </c>
      <c r="C11" s="111" t="s">
        <v>86</v>
      </c>
      <c r="D11" s="169" t="s">
        <v>141</v>
      </c>
      <c r="E11" s="170"/>
      <c r="F11" s="170"/>
      <c r="G11" s="170"/>
      <c r="H11" s="171"/>
      <c r="I11" s="183"/>
      <c r="J11" s="119">
        <v>40</v>
      </c>
      <c r="K11" s="61"/>
      <c r="L11" s="62"/>
    </row>
    <row r="12" spans="1:12" ht="25.5" customHeight="1" thickBot="1" x14ac:dyDescent="0.3">
      <c r="A12" s="199" t="s">
        <v>142</v>
      </c>
      <c r="B12" s="200"/>
      <c r="C12" s="200"/>
      <c r="D12" s="200"/>
      <c r="E12" s="200"/>
      <c r="F12" s="200"/>
      <c r="G12" s="200"/>
      <c r="H12" s="201"/>
      <c r="I12" s="202" t="s">
        <v>124</v>
      </c>
      <c r="J12" s="203"/>
      <c r="K12" s="203"/>
      <c r="L12" s="120"/>
    </row>
    <row r="13" spans="1:12" ht="15" customHeight="1" thickBot="1" x14ac:dyDescent="0.3">
      <c r="A13" s="117"/>
      <c r="B13" s="117"/>
      <c r="C13" s="117"/>
      <c r="D13" s="172"/>
      <c r="E13" s="172"/>
      <c r="F13" s="172"/>
      <c r="G13" s="172"/>
      <c r="H13" s="172"/>
      <c r="I13" s="116"/>
      <c r="J13" s="116"/>
      <c r="K13" s="118"/>
      <c r="L13" s="118"/>
    </row>
    <row r="14" spans="1:12" ht="21" customHeight="1" thickBot="1" x14ac:dyDescent="0.3">
      <c r="A14" s="173" t="s">
        <v>143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5"/>
    </row>
    <row r="15" spans="1:12" ht="15" customHeight="1" x14ac:dyDescent="0.25">
      <c r="A15" s="159" t="s">
        <v>1</v>
      </c>
      <c r="B15" s="161" t="s">
        <v>24</v>
      </c>
      <c r="C15" s="157" t="s">
        <v>86</v>
      </c>
      <c r="D15" s="176" t="s">
        <v>102</v>
      </c>
      <c r="E15" s="177"/>
      <c r="F15" s="177"/>
      <c r="G15" s="177"/>
      <c r="H15" s="178"/>
      <c r="I15" s="157" t="s">
        <v>118</v>
      </c>
      <c r="J15" s="157" t="s">
        <v>123</v>
      </c>
      <c r="K15" s="149" t="s">
        <v>2</v>
      </c>
      <c r="L15" s="150"/>
    </row>
    <row r="16" spans="1:12" ht="15" customHeight="1" x14ac:dyDescent="0.25">
      <c r="A16" s="160"/>
      <c r="B16" s="162"/>
      <c r="C16" s="158"/>
      <c r="D16" s="179"/>
      <c r="E16" s="180"/>
      <c r="F16" s="180"/>
      <c r="G16" s="180"/>
      <c r="H16" s="181"/>
      <c r="I16" s="158"/>
      <c r="J16" s="158"/>
      <c r="K16" s="53" t="s">
        <v>119</v>
      </c>
      <c r="L16" s="52" t="s">
        <v>3</v>
      </c>
    </row>
    <row r="17" spans="1:12" ht="33.75" customHeight="1" x14ac:dyDescent="0.25">
      <c r="A17" s="38">
        <v>1</v>
      </c>
      <c r="B17" s="115">
        <v>1</v>
      </c>
      <c r="C17" s="111" t="s">
        <v>86</v>
      </c>
      <c r="D17" s="166" t="s">
        <v>145</v>
      </c>
      <c r="E17" s="167"/>
      <c r="F17" s="167"/>
      <c r="G17" s="167"/>
      <c r="H17" s="168"/>
      <c r="I17" s="182" t="s">
        <v>122</v>
      </c>
      <c r="J17" s="119">
        <v>7000</v>
      </c>
      <c r="K17" s="57"/>
      <c r="L17" s="58"/>
    </row>
    <row r="18" spans="1:12" ht="32.25" customHeight="1" x14ac:dyDescent="0.25">
      <c r="A18" s="38">
        <v>2</v>
      </c>
      <c r="B18" s="115">
        <v>23</v>
      </c>
      <c r="C18" s="111" t="s">
        <v>86</v>
      </c>
      <c r="D18" s="166" t="s">
        <v>144</v>
      </c>
      <c r="E18" s="167"/>
      <c r="F18" s="167"/>
      <c r="G18" s="167"/>
      <c r="H18" s="168"/>
      <c r="I18" s="183"/>
      <c r="J18" s="119">
        <v>1000</v>
      </c>
      <c r="K18" s="59"/>
      <c r="L18" s="60"/>
    </row>
    <row r="19" spans="1:12" ht="25.5" customHeight="1" thickBot="1" x14ac:dyDescent="0.3">
      <c r="A19" s="199" t="s">
        <v>146</v>
      </c>
      <c r="B19" s="200"/>
      <c r="C19" s="200"/>
      <c r="D19" s="200"/>
      <c r="E19" s="200"/>
      <c r="F19" s="200"/>
      <c r="G19" s="200"/>
      <c r="H19" s="201"/>
      <c r="I19" s="202" t="s">
        <v>126</v>
      </c>
      <c r="J19" s="203"/>
      <c r="K19" s="203"/>
      <c r="L19" s="120"/>
    </row>
    <row r="20" spans="1:12" ht="15" customHeight="1" thickBot="1" x14ac:dyDescent="0.3">
      <c r="A20" s="117"/>
      <c r="B20" s="117"/>
      <c r="C20" s="117"/>
      <c r="D20" s="172"/>
      <c r="E20" s="172"/>
      <c r="F20" s="172"/>
      <c r="G20" s="172"/>
      <c r="H20" s="172"/>
      <c r="I20" s="116"/>
      <c r="J20" s="116"/>
      <c r="K20" s="118"/>
      <c r="L20" s="118"/>
    </row>
    <row r="21" spans="1:12" ht="21" customHeight="1" thickBot="1" x14ac:dyDescent="0.3">
      <c r="A21" s="173" t="s">
        <v>147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5"/>
    </row>
    <row r="22" spans="1:12" ht="15" customHeight="1" x14ac:dyDescent="0.25">
      <c r="A22" s="159" t="s">
        <v>1</v>
      </c>
      <c r="B22" s="161" t="s">
        <v>24</v>
      </c>
      <c r="C22" s="157" t="s">
        <v>86</v>
      </c>
      <c r="D22" s="176" t="s">
        <v>102</v>
      </c>
      <c r="E22" s="177"/>
      <c r="F22" s="177"/>
      <c r="G22" s="177"/>
      <c r="H22" s="178"/>
      <c r="I22" s="157" t="s">
        <v>118</v>
      </c>
      <c r="J22" s="157" t="s">
        <v>123</v>
      </c>
      <c r="K22" s="149" t="s">
        <v>2</v>
      </c>
      <c r="L22" s="150"/>
    </row>
    <row r="23" spans="1:12" ht="15" customHeight="1" x14ac:dyDescent="0.25">
      <c r="A23" s="160"/>
      <c r="B23" s="162"/>
      <c r="C23" s="158"/>
      <c r="D23" s="179"/>
      <c r="E23" s="180"/>
      <c r="F23" s="180"/>
      <c r="G23" s="180"/>
      <c r="H23" s="181"/>
      <c r="I23" s="158"/>
      <c r="J23" s="158"/>
      <c r="K23" s="53" t="s">
        <v>119</v>
      </c>
      <c r="L23" s="52" t="s">
        <v>3</v>
      </c>
    </row>
    <row r="24" spans="1:12" ht="64.5" customHeight="1" x14ac:dyDescent="0.25">
      <c r="A24" s="38">
        <v>1</v>
      </c>
      <c r="B24" s="121">
        <v>6925</v>
      </c>
      <c r="C24" s="111" t="s">
        <v>128</v>
      </c>
      <c r="D24" s="166" t="s">
        <v>148</v>
      </c>
      <c r="E24" s="167"/>
      <c r="F24" s="167"/>
      <c r="G24" s="167"/>
      <c r="H24" s="168"/>
      <c r="I24" s="54" t="s">
        <v>122</v>
      </c>
      <c r="J24" s="119">
        <v>0.9</v>
      </c>
      <c r="K24" s="57"/>
      <c r="L24" s="58"/>
    </row>
    <row r="25" spans="1:12" ht="25.5" customHeight="1" thickBot="1" x14ac:dyDescent="0.3">
      <c r="A25" s="199" t="s">
        <v>149</v>
      </c>
      <c r="B25" s="200"/>
      <c r="C25" s="200"/>
      <c r="D25" s="200"/>
      <c r="E25" s="200"/>
      <c r="F25" s="200"/>
      <c r="G25" s="200"/>
      <c r="H25" s="201"/>
      <c r="I25" s="202" t="s">
        <v>129</v>
      </c>
      <c r="J25" s="203"/>
      <c r="K25" s="203"/>
      <c r="L25" s="120"/>
    </row>
    <row r="26" spans="1:12" ht="15" customHeight="1" thickBot="1" x14ac:dyDescent="0.3">
      <c r="A26" s="117"/>
      <c r="B26" s="117"/>
      <c r="C26" s="117"/>
      <c r="D26" s="172"/>
      <c r="E26" s="172"/>
      <c r="F26" s="172"/>
      <c r="G26" s="172"/>
      <c r="H26" s="172"/>
      <c r="I26" s="116"/>
      <c r="J26" s="116"/>
      <c r="K26" s="118"/>
      <c r="L26" s="118"/>
    </row>
    <row r="27" spans="1:12" ht="15" customHeight="1" x14ac:dyDescent="0.25">
      <c r="A27" s="14"/>
      <c r="B27" s="22"/>
      <c r="C27" s="15"/>
      <c r="D27" s="15"/>
      <c r="E27" s="47"/>
      <c r="F27" s="72" t="s">
        <v>4</v>
      </c>
      <c r="G27" s="47"/>
      <c r="H27" s="15"/>
      <c r="I27" s="15"/>
      <c r="J27" s="15"/>
      <c r="K27" s="23"/>
      <c r="L27" s="24"/>
    </row>
    <row r="28" spans="1:12" ht="15" customHeight="1" x14ac:dyDescent="0.25">
      <c r="A28" s="69" t="s">
        <v>92</v>
      </c>
      <c r="B28" s="70"/>
      <c r="C28" s="5" t="s">
        <v>27</v>
      </c>
      <c r="D28" s="70"/>
      <c r="E28" s="70"/>
      <c r="F28" s="70"/>
      <c r="G28" s="70"/>
      <c r="H28" s="112" t="s">
        <v>37</v>
      </c>
      <c r="I28" s="112"/>
      <c r="J28" s="112"/>
      <c r="K28" s="70"/>
      <c r="L28" s="113"/>
    </row>
    <row r="29" spans="1:12" ht="15" customHeight="1" x14ac:dyDescent="0.25">
      <c r="A29" s="69" t="s">
        <v>131</v>
      </c>
      <c r="B29" s="70"/>
      <c r="C29" s="70" t="s">
        <v>30</v>
      </c>
      <c r="D29" s="114"/>
      <c r="E29" s="70"/>
      <c r="F29" s="70"/>
      <c r="G29" s="75"/>
      <c r="H29" s="204" t="s">
        <v>132</v>
      </c>
      <c r="I29" s="204"/>
      <c r="J29" s="204"/>
      <c r="K29" s="204"/>
      <c r="L29" s="70"/>
    </row>
    <row r="30" spans="1:12" ht="15" customHeight="1" x14ac:dyDescent="0.25">
      <c r="A30" s="155" t="s">
        <v>99</v>
      </c>
      <c r="B30" s="156"/>
      <c r="C30" s="156"/>
      <c r="D30" s="154" t="s">
        <v>133</v>
      </c>
      <c r="E30" s="154"/>
      <c r="F30" s="154"/>
      <c r="G30" s="75"/>
      <c r="H30" s="76"/>
      <c r="I30" s="76"/>
      <c r="J30" s="76"/>
      <c r="K30" s="70"/>
      <c r="L30" s="70"/>
    </row>
    <row r="31" spans="1:12" ht="15" customHeight="1" x14ac:dyDescent="0.25">
      <c r="A31" s="69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113"/>
    </row>
    <row r="32" spans="1:12" ht="15" customHeight="1" x14ac:dyDescent="0.25">
      <c r="A32" s="123" t="s">
        <v>134</v>
      </c>
      <c r="B32" s="70"/>
      <c r="C32" s="70"/>
      <c r="D32" s="70"/>
      <c r="E32" s="70"/>
      <c r="F32" s="70"/>
      <c r="G32" s="70"/>
      <c r="H32" s="112" t="s">
        <v>116</v>
      </c>
      <c r="I32" s="112"/>
      <c r="J32" s="112"/>
      <c r="K32" s="70"/>
      <c r="L32" s="113"/>
    </row>
    <row r="33" spans="1:19" ht="54.75" customHeight="1" thickBot="1" x14ac:dyDescent="0.3">
      <c r="A33" s="151" t="s">
        <v>117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3"/>
      <c r="P33" s="5" t="s">
        <v>96</v>
      </c>
    </row>
    <row r="34" spans="1:19" ht="70.5" customHeight="1" thickBot="1" x14ac:dyDescent="0.3">
      <c r="A34" s="163" t="s">
        <v>111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5"/>
      <c r="S34" s="70"/>
    </row>
    <row r="35" spans="1:19" ht="3" customHeight="1" thickBot="1" x14ac:dyDescent="0.3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5"/>
      <c r="S35" s="70"/>
    </row>
    <row r="36" spans="1:19" x14ac:dyDescent="0.25">
      <c r="A36" s="106"/>
      <c r="B36" s="107"/>
      <c r="C36" s="107"/>
      <c r="D36" s="107"/>
      <c r="E36" s="108"/>
      <c r="F36" s="109" t="s">
        <v>115</v>
      </c>
      <c r="G36" s="108"/>
      <c r="H36" s="107"/>
      <c r="I36" s="107"/>
      <c r="J36" s="107"/>
      <c r="K36" s="107"/>
      <c r="L36" s="110"/>
    </row>
    <row r="37" spans="1:19" x14ac:dyDescent="0.25">
      <c r="A37" s="18" t="s">
        <v>5</v>
      </c>
      <c r="L37" s="17"/>
    </row>
    <row r="38" spans="1:19" x14ac:dyDescent="0.25">
      <c r="A38" s="18" t="s">
        <v>6</v>
      </c>
      <c r="G38" s="5" t="s">
        <v>7</v>
      </c>
      <c r="L38" s="17"/>
    </row>
    <row r="39" spans="1:19" x14ac:dyDescent="0.25">
      <c r="A39" s="18" t="s">
        <v>8</v>
      </c>
      <c r="G39" s="5" t="s">
        <v>9</v>
      </c>
      <c r="L39" s="17"/>
    </row>
    <row r="40" spans="1:19" x14ac:dyDescent="0.25">
      <c r="A40" s="18" t="s">
        <v>10</v>
      </c>
      <c r="G40" s="5" t="s">
        <v>11</v>
      </c>
      <c r="I40" s="5" t="s">
        <v>12</v>
      </c>
      <c r="L40" s="17"/>
    </row>
    <row r="41" spans="1:19" x14ac:dyDescent="0.25">
      <c r="A41" s="18" t="s">
        <v>13</v>
      </c>
      <c r="G41" s="5" t="s">
        <v>14</v>
      </c>
      <c r="I41" s="25" t="s">
        <v>15</v>
      </c>
      <c r="J41" s="25"/>
      <c r="L41" s="17"/>
    </row>
    <row r="42" spans="1:19" x14ac:dyDescent="0.25">
      <c r="A42" s="18" t="s">
        <v>16</v>
      </c>
      <c r="D42" s="5" t="s">
        <v>17</v>
      </c>
      <c r="G42" s="5" t="s">
        <v>18</v>
      </c>
      <c r="I42" s="25" t="s">
        <v>19</v>
      </c>
      <c r="J42" s="25"/>
      <c r="L42" s="17"/>
    </row>
    <row r="43" spans="1:19" x14ac:dyDescent="0.25">
      <c r="A43" s="18" t="s">
        <v>33</v>
      </c>
      <c r="L43" s="17"/>
    </row>
    <row r="44" spans="1:19" ht="15.75" thickBot="1" x14ac:dyDescent="0.3">
      <c r="A44" s="19" t="s">
        <v>20</v>
      </c>
      <c r="B44" s="20"/>
      <c r="C44" s="20"/>
      <c r="D44" s="20"/>
      <c r="E44" s="20"/>
      <c r="F44" s="20" t="s">
        <v>21</v>
      </c>
      <c r="G44" s="20"/>
      <c r="H44" s="20"/>
      <c r="I44" s="20"/>
      <c r="J44" s="20"/>
      <c r="K44" s="20"/>
      <c r="L44" s="21"/>
    </row>
    <row r="45" spans="1:19" ht="15.75" x14ac:dyDescent="0.25">
      <c r="A45" s="91" t="s">
        <v>97</v>
      </c>
      <c r="B45" s="64"/>
      <c r="C45" s="64"/>
      <c r="D45" s="64"/>
      <c r="E45" s="64"/>
      <c r="F45" s="64"/>
      <c r="G45" s="64"/>
      <c r="H45" s="64"/>
      <c r="I45" s="84"/>
      <c r="J45" s="84"/>
      <c r="K45" s="84"/>
      <c r="L45" s="85"/>
    </row>
    <row r="46" spans="1:19" s="10" customFormat="1" ht="15.75" x14ac:dyDescent="0.25">
      <c r="A46" s="124" t="s">
        <v>120</v>
      </c>
      <c r="B46" s="63"/>
      <c r="C46" s="63"/>
      <c r="D46" s="63"/>
      <c r="L46" s="92"/>
    </row>
    <row r="47" spans="1:19" s="10" customFormat="1" ht="15.75" x14ac:dyDescent="0.25">
      <c r="A47" s="93" t="str">
        <f>IF(A46="Adézio Machado","adezio.machado@scgas.com.br",IF(A46="Karen Kunzler Graff","karen.graff@scgas.com.br",IF(A46="Giovani Della Rocca","giovani.rocca@scgas.com.br",IF(A46="Guilherme dos Santos Timponi","guilherme.timponi@scgas.com.br",IF(A46="Roberta Fiamoncini da Silva","roberta.silva@scgas.com.br",IF(A46="Tirza Torres Pereira","tirza.pereira@scgas.com.br",IF(A46="Luciana Cristina da Silva","luciana.silva@scgas.com.br",IF(A46="Valdete Aparecida Andrett","valdete.andrett@scgas.com.br",IF(A46="Thiago Alves","thiago.alves@scgas.com.br","")))))))))</f>
        <v>valdete.andrett@scgas.com.br</v>
      </c>
      <c r="B47" s="94"/>
      <c r="C47" s="94"/>
      <c r="D47" s="94"/>
      <c r="L47" s="92"/>
    </row>
    <row r="48" spans="1:19" s="10" customFormat="1" ht="16.5" thickBot="1" x14ac:dyDescent="0.3">
      <c r="A48" s="95" t="s">
        <v>93</v>
      </c>
      <c r="B48" s="96"/>
      <c r="C48" s="96"/>
      <c r="D48" s="96"/>
      <c r="E48" s="89"/>
      <c r="F48" s="89"/>
      <c r="G48" s="89"/>
      <c r="H48" s="89"/>
      <c r="I48" s="89"/>
      <c r="J48" s="89"/>
      <c r="K48" s="89"/>
      <c r="L48" s="97"/>
    </row>
    <row r="49" spans="1:12" ht="77.25" customHeight="1" thickBot="1" x14ac:dyDescent="0.3">
      <c r="A49" s="146" t="s">
        <v>101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8"/>
    </row>
    <row r="87" spans="1:18" s="34" customForma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34" t="s">
        <v>83</v>
      </c>
    </row>
    <row r="88" spans="1:18" s="34" customForma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34" t="s">
        <v>84</v>
      </c>
    </row>
    <row r="89" spans="1:18" s="34" customFormat="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18" s="35" customFormat="1" x14ac:dyDescent="0.25">
      <c r="A90" s="34" t="e">
        <f>CONCATENATE(C90,L90)</f>
        <v>#REF!</v>
      </c>
      <c r="B90" s="34" t="e">
        <f>A91&amp;"\"</f>
        <v>#REF!</v>
      </c>
      <c r="C90" s="34" t="e">
        <f>"V:\Gerhs\SUPRIMENTOS\LICITAÇÕES E CONTRATOS\"&amp;#REF!&amp;"\COTAÇÕES DE COMPRAS"&amp;"\"</f>
        <v>#REF!</v>
      </c>
      <c r="D90" s="34"/>
      <c r="E90" s="34"/>
      <c r="F90" s="34"/>
      <c r="G90" s="34"/>
      <c r="H90" s="34"/>
      <c r="I90" s="34"/>
      <c r="J90" s="34"/>
      <c r="K90" s="34"/>
      <c r="L90" s="34" t="e">
        <f>#REF!&amp;" - "&amp;LEFT($D$9,30)&amp;"-"</f>
        <v>#REF!</v>
      </c>
      <c r="N90" s="43"/>
      <c r="O90" s="43"/>
      <c r="P90" s="43"/>
      <c r="Q90" s="43"/>
      <c r="R90" s="43"/>
    </row>
    <row r="91" spans="1:18" s="35" customFormat="1" x14ac:dyDescent="0.25">
      <c r="A91" s="34" t="e">
        <f>CONCATENATE($C$90,$L$90,M87)</f>
        <v>#REF!</v>
      </c>
      <c r="B91" s="34" t="e">
        <f>#REF!&amp;"_"&amp;#REF!&amp;".xlsm"</f>
        <v>#REF!</v>
      </c>
      <c r="C91" s="34"/>
      <c r="D91" s="34"/>
      <c r="E91" s="34"/>
      <c r="F91" s="34"/>
      <c r="G91" s="34"/>
      <c r="H91" s="34"/>
      <c r="I91" s="34"/>
      <c r="J91" s="34"/>
      <c r="K91" s="34"/>
      <c r="L91" s="34"/>
      <c r="N91" s="43"/>
      <c r="O91" s="43"/>
      <c r="P91" s="43"/>
      <c r="Q91" s="43"/>
      <c r="R91" s="43"/>
    </row>
    <row r="92" spans="1:18" s="35" customFormat="1" x14ac:dyDescent="0.25">
      <c r="A92" s="34" t="e">
        <f>CONCATENATE($C$90,$L$90,M88)</f>
        <v>#REF!</v>
      </c>
      <c r="B92" s="34" t="e">
        <f>#REF!&amp;"_Cotação_"&amp;#REF!&amp;".pdf"</f>
        <v>#REF!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N92" s="43"/>
      <c r="O92" s="43"/>
      <c r="P92" s="43"/>
      <c r="Q92" s="43"/>
      <c r="R92" s="43"/>
    </row>
    <row r="93" spans="1:18" s="35" customFormat="1" x14ac:dyDescent="0.25">
      <c r="B93" s="34" t="e">
        <f>#REF!&amp;"_Comparativo_"&amp;#REF!&amp;".pdf"</f>
        <v>#REF!</v>
      </c>
      <c r="N93" s="43"/>
      <c r="O93" s="43"/>
      <c r="P93" s="43"/>
      <c r="Q93" s="43"/>
      <c r="R93" s="43"/>
    </row>
    <row r="94" spans="1:18" s="35" customFormat="1" x14ac:dyDescent="0.25">
      <c r="B94" s="34" t="e">
        <f>#REF!&amp;"_Resultado_"&amp;#REF!&amp;".pdf"</f>
        <v>#REF!</v>
      </c>
      <c r="N94" s="43"/>
      <c r="O94" s="43"/>
      <c r="P94" s="43"/>
      <c r="Q94" s="43"/>
      <c r="R94" s="43"/>
    </row>
    <row r="95" spans="1:18" s="35" customFormat="1" x14ac:dyDescent="0.25">
      <c r="B95" s="34" t="e">
        <f>"V:\Gerhs\SUPRIMENTOS\LICITAÇÕES E CONTRATOS\"&amp;#REF!&amp;"\COTAÇÕES DE COMPRAS\000 - COTAÇÕES ME-EPP\" &amp; "Formulário de Cotação - ME-EPP2.xlsm"</f>
        <v>#REF!</v>
      </c>
      <c r="N95" s="43"/>
      <c r="O95" s="43"/>
      <c r="P95" s="43"/>
      <c r="Q95" s="43"/>
      <c r="R95" s="43"/>
    </row>
    <row r="96" spans="1:18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43"/>
      <c r="O96" s="43"/>
      <c r="P96" s="43"/>
      <c r="Q96" s="43"/>
      <c r="R96" s="43"/>
    </row>
    <row r="97" spans="1:18" ht="15.75" x14ac:dyDescent="0.25">
      <c r="A97" s="35"/>
      <c r="B97" s="36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034/2026. 
Aguardaremos retorno até 12/06/2026.
Favor nos enviar a proposta em papel timbrado de sua empresa, NÃO UTILIZAR A LOGOMARCA DA SCGÁS. 
 Atenciosamente, 
 </v>
      </c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43"/>
      <c r="O97" s="43"/>
      <c r="P97" s="43"/>
      <c r="Q97" s="43"/>
      <c r="R97" s="43"/>
    </row>
    <row r="98" spans="1:18" x14ac:dyDescent="0.25">
      <c r="A98" s="35"/>
      <c r="B98" s="37" t="str">
        <f>"Prezados Srs.,  
Segue em resultado da solicitação de cotação nº "&amp;A4&amp;",  encerrada em "&amp;TEXT(H4,"dd/mm/aaaa")&amp;".
 Atenciosamente, 
 "
&amp;A46&amp;" 
"
&amp;"Fone: 48 3229-1200"</f>
        <v>Prezados Srs.,  
Segue em resultado da solicitação de cotação nº 034/2026,  encerrada em 12/06/2026.
 Atenciosamente, 
 Valdete Aparecida Andrett 
Fone: 48 3229-1200</v>
      </c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43"/>
      <c r="O98" s="43"/>
      <c r="P98" s="43"/>
      <c r="Q98" s="43"/>
      <c r="R98" s="43"/>
    </row>
    <row r="99" spans="1:18" ht="15.75" x14ac:dyDescent="0.25">
      <c r="A99" s="43"/>
      <c r="B99" s="44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</row>
    <row r="100" spans="1:18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</row>
    <row r="101" spans="1:18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</row>
  </sheetData>
  <dataConsolidate/>
  <mergeCells count="55">
    <mergeCell ref="D26:H26"/>
    <mergeCell ref="H29:K29"/>
    <mergeCell ref="A25:H25"/>
    <mergeCell ref="I25:K25"/>
    <mergeCell ref="A12:H12"/>
    <mergeCell ref="I12:K12"/>
    <mergeCell ref="I17:I18"/>
    <mergeCell ref="D24:H24"/>
    <mergeCell ref="A19:H19"/>
    <mergeCell ref="I19:K19"/>
    <mergeCell ref="D20:H20"/>
    <mergeCell ref="A21:L21"/>
    <mergeCell ref="A22:A23"/>
    <mergeCell ref="J22:J23"/>
    <mergeCell ref="B22:B23"/>
    <mergeCell ref="C22:C23"/>
    <mergeCell ref="D22:H23"/>
    <mergeCell ref="I22:I23"/>
    <mergeCell ref="J15:J16"/>
    <mergeCell ref="K15:L15"/>
    <mergeCell ref="D17:H17"/>
    <mergeCell ref="D18:H18"/>
    <mergeCell ref="K22:L22"/>
    <mergeCell ref="C7:C8"/>
    <mergeCell ref="D7:H8"/>
    <mergeCell ref="A4:B4"/>
    <mergeCell ref="A3:B3"/>
    <mergeCell ref="H3:L3"/>
    <mergeCell ref="H4:L4"/>
    <mergeCell ref="C3:G3"/>
    <mergeCell ref="C4:G4"/>
    <mergeCell ref="J7:J8"/>
    <mergeCell ref="A6:L6"/>
    <mergeCell ref="J5:L5"/>
    <mergeCell ref="B15:B16"/>
    <mergeCell ref="C15:C16"/>
    <mergeCell ref="D15:H16"/>
    <mergeCell ref="I15:I16"/>
    <mergeCell ref="I9:I11"/>
    <mergeCell ref="A35:L35"/>
    <mergeCell ref="A49:L49"/>
    <mergeCell ref="K7:L7"/>
    <mergeCell ref="A33:L33"/>
    <mergeCell ref="D30:F30"/>
    <mergeCell ref="A30:C30"/>
    <mergeCell ref="I7:I8"/>
    <mergeCell ref="A7:A8"/>
    <mergeCell ref="B7:B8"/>
    <mergeCell ref="A34:L34"/>
    <mergeCell ref="D9:H9"/>
    <mergeCell ref="D11:H11"/>
    <mergeCell ref="D13:H13"/>
    <mergeCell ref="D10:H10"/>
    <mergeCell ref="A14:L14"/>
    <mergeCell ref="A15:A16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C28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C29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K29:K30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A33:L33</xm:sqref>
        </x14:dataValidation>
        <x14:dataValidation type="list" allowBlank="1" showInputMessage="1" showErrorMessage="1" xr:uid="{00000000-0002-0000-0000-000002000000}">
          <x14:formula1>
            <xm:f>'NÃO EXLUIR'!$H$83:$H$91</xm:f>
          </x14:formula1>
          <xm:sqref>A46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7"/>
  <sheetViews>
    <sheetView view="pageBreakPreview" zoomScale="115" zoomScaleNormal="115" zoomScaleSheetLayoutView="115" workbookViewId="0">
      <selection activeCell="G5" sqref="G5:K5"/>
    </sheetView>
  </sheetViews>
  <sheetFormatPr defaultColWidth="9.140625" defaultRowHeight="15" x14ac:dyDescent="0.25"/>
  <cols>
    <col min="1" max="1" width="10.5703125" style="5" customWidth="1"/>
    <col min="2" max="3" width="9.140625" style="5"/>
    <col min="4" max="4" width="10.140625" style="5" customWidth="1"/>
    <col min="5" max="5" width="12.7109375" style="5" customWidth="1"/>
    <col min="6" max="6" width="10.140625" style="5" customWidth="1"/>
    <col min="7" max="7" width="12.7109375" style="5" customWidth="1"/>
    <col min="8" max="8" width="10.140625" style="5" customWidth="1"/>
    <col min="9" max="9" width="12.7109375" style="5" customWidth="1"/>
    <col min="10" max="10" width="11.7109375" style="5" customWidth="1"/>
    <col min="11" max="11" width="12.7109375" style="5" customWidth="1"/>
    <col min="12" max="16384" width="9.140625" style="5"/>
  </cols>
  <sheetData>
    <row r="1" spans="1:11" x14ac:dyDescent="0.25">
      <c r="H1" s="6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8" t="s">
        <v>23</v>
      </c>
      <c r="J2" s="9" t="str">
        <f>Cotação!K2</f>
        <v>034/2026</v>
      </c>
      <c r="K2" s="7"/>
    </row>
    <row r="3" spans="1:11" ht="16.5" thickTop="1" thickBot="1" x14ac:dyDescent="0.3"/>
    <row r="4" spans="1:11" s="10" customFormat="1" ht="15.75" customHeight="1" x14ac:dyDescent="0.25">
      <c r="A4" s="217" t="s">
        <v>0</v>
      </c>
      <c r="B4" s="218"/>
      <c r="C4" s="221" t="s">
        <v>103</v>
      </c>
      <c r="D4" s="221"/>
      <c r="E4" s="221"/>
      <c r="F4" s="221"/>
      <c r="G4" s="217" t="s">
        <v>110</v>
      </c>
      <c r="H4" s="223"/>
      <c r="I4" s="223"/>
      <c r="J4" s="223"/>
      <c r="K4" s="218"/>
    </row>
    <row r="5" spans="1:11" ht="15.75" thickBot="1" x14ac:dyDescent="0.3">
      <c r="A5" s="219" t="str">
        <f>J2</f>
        <v>034/2026</v>
      </c>
      <c r="B5" s="220"/>
      <c r="C5" s="222">
        <f>Cotação!C4</f>
        <v>46169</v>
      </c>
      <c r="D5" s="222"/>
      <c r="E5" s="222"/>
      <c r="F5" s="222"/>
      <c r="G5" s="224">
        <f>Cotação!H4</f>
        <v>46185</v>
      </c>
      <c r="H5" s="222"/>
      <c r="I5" s="222"/>
      <c r="J5" s="222"/>
      <c r="K5" s="225"/>
    </row>
    <row r="6" spans="1:11" x14ac:dyDescent="0.25">
      <c r="A6" s="227" t="s">
        <v>100</v>
      </c>
      <c r="B6" s="228"/>
      <c r="C6" s="228"/>
      <c r="D6" s="228"/>
      <c r="E6" s="228"/>
      <c r="F6" s="228"/>
      <c r="G6" s="228"/>
      <c r="H6" s="228"/>
      <c r="I6" s="228"/>
      <c r="J6" s="228"/>
      <c r="K6" s="229"/>
    </row>
    <row r="7" spans="1:11" ht="15.75" thickBot="1" x14ac:dyDescent="0.3">
      <c r="A7" s="230"/>
      <c r="B7" s="231"/>
      <c r="C7" s="231"/>
      <c r="D7" s="231"/>
      <c r="E7" s="231"/>
      <c r="F7" s="231"/>
      <c r="G7" s="231"/>
      <c r="H7" s="231"/>
      <c r="I7" s="231"/>
      <c r="J7" s="231"/>
      <c r="K7" s="232"/>
    </row>
    <row r="8" spans="1:11" ht="16.5" thickBot="1" x14ac:dyDescent="0.3">
      <c r="A8" s="26"/>
      <c r="B8" s="237" t="s">
        <v>38</v>
      </c>
      <c r="C8" s="237"/>
      <c r="D8" s="237"/>
      <c r="E8" s="237"/>
      <c r="F8" s="237"/>
      <c r="G8" s="237"/>
      <c r="H8" s="237"/>
      <c r="I8" s="238"/>
      <c r="J8" s="105" t="s">
        <v>87</v>
      </c>
      <c r="K8" s="49" t="s">
        <v>45</v>
      </c>
    </row>
    <row r="9" spans="1:11" x14ac:dyDescent="0.25">
      <c r="A9" s="40" t="s">
        <v>39</v>
      </c>
      <c r="B9" s="234"/>
      <c r="C9" s="235"/>
      <c r="D9" s="235"/>
      <c r="E9" s="235"/>
      <c r="F9" s="235"/>
      <c r="G9" s="235"/>
      <c r="H9" s="235"/>
      <c r="I9" s="236"/>
      <c r="J9" s="77"/>
      <c r="K9" s="78" t="s">
        <v>29</v>
      </c>
    </row>
    <row r="10" spans="1:11" x14ac:dyDescent="0.25">
      <c r="A10" s="41" t="s">
        <v>42</v>
      </c>
      <c r="B10" s="226"/>
      <c r="C10" s="226"/>
      <c r="D10" s="226"/>
      <c r="E10" s="226"/>
      <c r="F10" s="226"/>
      <c r="G10" s="226"/>
      <c r="H10" s="226"/>
      <c r="I10" s="226"/>
      <c r="J10" s="51"/>
      <c r="K10" s="79" t="s">
        <v>29</v>
      </c>
    </row>
    <row r="11" spans="1:11" x14ac:dyDescent="0.25">
      <c r="A11" s="41" t="s">
        <v>43</v>
      </c>
      <c r="B11" s="226"/>
      <c r="C11" s="226"/>
      <c r="D11" s="226"/>
      <c r="E11" s="226"/>
      <c r="F11" s="226"/>
      <c r="G11" s="226"/>
      <c r="H11" s="226"/>
      <c r="I11" s="226"/>
      <c r="J11" s="51"/>
      <c r="K11" s="79" t="s">
        <v>29</v>
      </c>
    </row>
    <row r="12" spans="1:11" x14ac:dyDescent="0.25">
      <c r="A12" s="41" t="s">
        <v>44</v>
      </c>
      <c r="B12" s="226"/>
      <c r="C12" s="226"/>
      <c r="D12" s="226"/>
      <c r="E12" s="226"/>
      <c r="F12" s="226"/>
      <c r="G12" s="226"/>
      <c r="H12" s="226"/>
      <c r="I12" s="226"/>
      <c r="J12" s="51"/>
      <c r="K12" s="79" t="s">
        <v>29</v>
      </c>
    </row>
    <row r="13" spans="1:11" x14ac:dyDescent="0.25">
      <c r="A13" s="41" t="s">
        <v>75</v>
      </c>
      <c r="B13" s="226"/>
      <c r="C13" s="226"/>
      <c r="D13" s="226"/>
      <c r="E13" s="226"/>
      <c r="F13" s="226"/>
      <c r="G13" s="226"/>
      <c r="H13" s="226"/>
      <c r="I13" s="226"/>
      <c r="J13" s="51"/>
      <c r="K13" s="79" t="s">
        <v>29</v>
      </c>
    </row>
    <row r="14" spans="1:11" ht="15.75" thickBot="1" x14ac:dyDescent="0.3">
      <c r="A14" s="42" t="s">
        <v>76</v>
      </c>
      <c r="B14" s="233"/>
      <c r="C14" s="233"/>
      <c r="D14" s="233"/>
      <c r="E14" s="233"/>
      <c r="F14" s="233"/>
      <c r="G14" s="233"/>
      <c r="H14" s="233"/>
      <c r="I14" s="233"/>
      <c r="J14" s="80"/>
      <c r="K14" s="81" t="s">
        <v>29</v>
      </c>
    </row>
    <row r="15" spans="1:11" ht="15.75" thickBot="1" x14ac:dyDescent="0.3"/>
    <row r="16" spans="1:11" ht="19.5" customHeight="1" thickBot="1" x14ac:dyDescent="0.3">
      <c r="A16" s="205" t="s">
        <v>125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7"/>
    </row>
    <row r="17" spans="1:12" x14ac:dyDescent="0.25">
      <c r="A17" s="208" t="s">
        <v>1</v>
      </c>
      <c r="B17" s="210" t="s">
        <v>24</v>
      </c>
      <c r="C17" s="212" t="s">
        <v>25</v>
      </c>
      <c r="D17" s="213" t="s">
        <v>39</v>
      </c>
      <c r="E17" s="214"/>
      <c r="F17" s="213" t="s">
        <v>42</v>
      </c>
      <c r="G17" s="214"/>
      <c r="H17" s="213" t="s">
        <v>43</v>
      </c>
      <c r="I17" s="214"/>
      <c r="J17" s="215" t="s">
        <v>44</v>
      </c>
      <c r="K17" s="216"/>
    </row>
    <row r="18" spans="1:12" x14ac:dyDescent="0.25">
      <c r="A18" s="209"/>
      <c r="B18" s="211"/>
      <c r="C18" s="210"/>
      <c r="D18" s="98" t="s">
        <v>40</v>
      </c>
      <c r="E18" s="98" t="s">
        <v>41</v>
      </c>
      <c r="F18" s="98" t="s">
        <v>40</v>
      </c>
      <c r="G18" s="98" t="s">
        <v>41</v>
      </c>
      <c r="H18" s="98" t="s">
        <v>40</v>
      </c>
      <c r="I18" s="98" t="s">
        <v>41</v>
      </c>
      <c r="J18" s="99" t="s">
        <v>40</v>
      </c>
      <c r="K18" s="100" t="s">
        <v>41</v>
      </c>
    </row>
    <row r="19" spans="1:12" x14ac:dyDescent="0.25">
      <c r="A19" s="27">
        <v>1</v>
      </c>
      <c r="B19" s="55">
        <v>31</v>
      </c>
      <c r="C19" s="28" t="s">
        <v>86</v>
      </c>
      <c r="D19" s="39"/>
      <c r="E19" s="39">
        <f t="shared" ref="E19:E20" si="0">IF(B19="","",(IF($K$9="SC",D19*B19,(D19*B19)*1.05)))</f>
        <v>0</v>
      </c>
      <c r="F19" s="39"/>
      <c r="G19" s="39">
        <f t="shared" ref="G19:G20" si="1">IF(B19="","",IF($K$10="SC",F19*B19,(F19*B19)*1.05))</f>
        <v>0</v>
      </c>
      <c r="H19" s="39"/>
      <c r="I19" s="39">
        <f t="shared" ref="I19:I20" si="2">IF(B19="","",IF($K$11="SC",H19*B19,(H19*B19)*1.05))</f>
        <v>0</v>
      </c>
      <c r="J19" s="45"/>
      <c r="K19" s="46">
        <f>IF(B19="","",IF($K$12="SC",J19*B19,(J19*B19)*1.05))</f>
        <v>0</v>
      </c>
    </row>
    <row r="20" spans="1:12" x14ac:dyDescent="0.25">
      <c r="A20" s="27">
        <v>2</v>
      </c>
      <c r="B20" s="55">
        <v>5</v>
      </c>
      <c r="C20" s="28" t="s">
        <v>86</v>
      </c>
      <c r="D20" s="39"/>
      <c r="E20" s="39">
        <f t="shared" si="0"/>
        <v>0</v>
      </c>
      <c r="F20" s="39"/>
      <c r="G20" s="39">
        <f t="shared" si="1"/>
        <v>0</v>
      </c>
      <c r="H20" s="39"/>
      <c r="I20" s="39">
        <f t="shared" si="2"/>
        <v>0</v>
      </c>
      <c r="J20" s="45"/>
      <c r="K20" s="46">
        <f t="shared" ref="K20" si="3">IF(B20="","",IF($K$12="SC",J20*B20,(J20*B20)*1.05))</f>
        <v>0</v>
      </c>
    </row>
    <row r="21" spans="1:12" ht="15.75" thickBot="1" x14ac:dyDescent="0.3">
      <c r="A21" s="27">
        <v>3</v>
      </c>
      <c r="B21" s="55">
        <v>1</v>
      </c>
      <c r="C21" s="28" t="s">
        <v>86</v>
      </c>
      <c r="D21" s="39"/>
      <c r="E21" s="39">
        <f t="shared" ref="E21:E33" si="4">IF(B21="","",(IF($K$9="SC",D21*B21,(D21*B21)*1.05)))</f>
        <v>0</v>
      </c>
      <c r="F21" s="39"/>
      <c r="G21" s="39">
        <f t="shared" ref="G21:G33" si="5">IF(B21="","",IF($K$10="SC",F21*B21,(F21*B21)*1.05))</f>
        <v>0</v>
      </c>
      <c r="H21" s="39"/>
      <c r="I21" s="39">
        <f t="shared" ref="I21:I33" si="6">IF(B21="","",IF($K$11="SC",H21*B21,(H21*B21)*1.05))</f>
        <v>0</v>
      </c>
      <c r="J21" s="45"/>
      <c r="K21" s="46">
        <f t="shared" ref="K21:K33" si="7">IF(B21="","",IF($K$12="SC",J21*B21,(J21*B21)*1.05))</f>
        <v>0</v>
      </c>
    </row>
    <row r="22" spans="1:12" ht="15.75" thickBot="1" x14ac:dyDescent="0.3">
      <c r="A22" s="131"/>
      <c r="B22" s="132"/>
      <c r="C22" s="133"/>
      <c r="D22" s="101" t="s">
        <v>3</v>
      </c>
      <c r="E22" s="134">
        <f>SUM(E19:E21)</f>
        <v>0</v>
      </c>
      <c r="F22" s="101" t="s">
        <v>3</v>
      </c>
      <c r="G22" s="134">
        <f>SUM(G19:G21)</f>
        <v>0</v>
      </c>
      <c r="H22" s="101" t="s">
        <v>3</v>
      </c>
      <c r="I22" s="134">
        <f>SUM(I19:I21)</f>
        <v>0</v>
      </c>
      <c r="J22" s="101" t="s">
        <v>3</v>
      </c>
      <c r="K22" s="135">
        <f>SUM(K19:K21)</f>
        <v>0</v>
      </c>
    </row>
    <row r="23" spans="1:12" ht="21" customHeight="1" thickBot="1" x14ac:dyDescent="0.3">
      <c r="A23" s="205" t="s">
        <v>150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spans="1:12" ht="18.75" x14ac:dyDescent="0.25">
      <c r="A24" s="208" t="s">
        <v>1</v>
      </c>
      <c r="B24" s="210" t="s">
        <v>24</v>
      </c>
      <c r="C24" s="212" t="s">
        <v>25</v>
      </c>
      <c r="D24" s="213" t="s">
        <v>39</v>
      </c>
      <c r="E24" s="214"/>
      <c r="F24" s="213" t="s">
        <v>42</v>
      </c>
      <c r="G24" s="214"/>
      <c r="H24" s="213" t="s">
        <v>43</v>
      </c>
      <c r="I24" s="214"/>
      <c r="J24" s="215" t="s">
        <v>44</v>
      </c>
      <c r="K24" s="216"/>
      <c r="L24" s="142"/>
    </row>
    <row r="25" spans="1:12" x14ac:dyDescent="0.25">
      <c r="A25" s="209"/>
      <c r="B25" s="211"/>
      <c r="C25" s="210"/>
      <c r="D25" s="98" t="s">
        <v>40</v>
      </c>
      <c r="E25" s="98" t="s">
        <v>41</v>
      </c>
      <c r="F25" s="98" t="s">
        <v>40</v>
      </c>
      <c r="G25" s="98" t="s">
        <v>41</v>
      </c>
      <c r="H25" s="98" t="s">
        <v>40</v>
      </c>
      <c r="I25" s="98" t="s">
        <v>41</v>
      </c>
      <c r="J25" s="99" t="s">
        <v>40</v>
      </c>
      <c r="K25" s="100" t="s">
        <v>41</v>
      </c>
    </row>
    <row r="26" spans="1:12" x14ac:dyDescent="0.25">
      <c r="A26" s="27">
        <v>1</v>
      </c>
      <c r="B26" s="55">
        <v>1</v>
      </c>
      <c r="C26" s="28" t="s">
        <v>86</v>
      </c>
      <c r="D26" s="39"/>
      <c r="E26" s="39">
        <f t="shared" ref="E26:E27" si="8">IF(B26="","",(IF($K$9="SC",D26*B26,(D26*B26)*1.05)))</f>
        <v>0</v>
      </c>
      <c r="F26" s="39"/>
      <c r="G26" s="39">
        <f t="shared" ref="G26:G27" si="9">IF(B26="","",IF($K$10="SC",F26*B26,(F26*B26)*1.05))</f>
        <v>0</v>
      </c>
      <c r="H26" s="39"/>
      <c r="I26" s="39">
        <f t="shared" ref="I26:I27" si="10">IF(B26="","",IF($K$11="SC",H26*B26,(H26*B26)*1.05))</f>
        <v>0</v>
      </c>
      <c r="J26" s="45"/>
      <c r="K26" s="46">
        <f>IF(B26="","",IF($K$12="SC",J26*B26,(J26*B26)*1.05))</f>
        <v>0</v>
      </c>
    </row>
    <row r="27" spans="1:12" ht="15.75" thickBot="1" x14ac:dyDescent="0.3">
      <c r="A27" s="27">
        <v>2</v>
      </c>
      <c r="B27" s="55">
        <v>23</v>
      </c>
      <c r="C27" s="28" t="s">
        <v>86</v>
      </c>
      <c r="D27" s="39"/>
      <c r="E27" s="39">
        <f t="shared" si="8"/>
        <v>0</v>
      </c>
      <c r="F27" s="39"/>
      <c r="G27" s="39">
        <f t="shared" si="9"/>
        <v>0</v>
      </c>
      <c r="H27" s="39"/>
      <c r="I27" s="39">
        <f t="shared" si="10"/>
        <v>0</v>
      </c>
      <c r="J27" s="45"/>
      <c r="K27" s="46">
        <f t="shared" ref="K27" si="11">IF(B27="","",IF($K$12="SC",J27*B27,(J27*B27)*1.05))</f>
        <v>0</v>
      </c>
    </row>
    <row r="28" spans="1:12" ht="15.75" thickBot="1" x14ac:dyDescent="0.3">
      <c r="A28" s="131"/>
      <c r="B28" s="132"/>
      <c r="C28" s="133"/>
      <c r="D28" s="101" t="s">
        <v>3</v>
      </c>
      <c r="E28" s="134">
        <f>SUM(E26:E27)</f>
        <v>0</v>
      </c>
      <c r="F28" s="101" t="s">
        <v>3</v>
      </c>
      <c r="G28" s="134">
        <f>SUM(G26:G27)</f>
        <v>0</v>
      </c>
      <c r="H28" s="101" t="s">
        <v>3</v>
      </c>
      <c r="I28" s="134">
        <f>SUM(I26:I27)</f>
        <v>0</v>
      </c>
      <c r="J28" s="101" t="s">
        <v>3</v>
      </c>
      <c r="K28" s="135">
        <f>SUM(K26:K27)</f>
        <v>0</v>
      </c>
    </row>
    <row r="29" spans="1:12" ht="20.25" customHeight="1" thickBot="1" x14ac:dyDescent="0.3">
      <c r="A29" s="136"/>
      <c r="B29" s="137"/>
      <c r="C29" s="138"/>
      <c r="D29" s="139"/>
      <c r="E29" s="140"/>
      <c r="F29" s="139"/>
      <c r="G29" s="140"/>
      <c r="H29" s="139"/>
      <c r="I29" s="140"/>
      <c r="J29" s="139"/>
      <c r="K29" s="141"/>
    </row>
    <row r="30" spans="1:12" ht="18" customHeight="1" thickBot="1" x14ac:dyDescent="0.3">
      <c r="A30" s="205" t="s">
        <v>127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  <c r="L30" s="6"/>
    </row>
    <row r="31" spans="1:12" x14ac:dyDescent="0.25">
      <c r="A31" s="208" t="s">
        <v>1</v>
      </c>
      <c r="B31" s="210" t="s">
        <v>24</v>
      </c>
      <c r="C31" s="212" t="s">
        <v>25</v>
      </c>
      <c r="D31" s="213" t="s">
        <v>39</v>
      </c>
      <c r="E31" s="214"/>
      <c r="F31" s="213" t="s">
        <v>42</v>
      </c>
      <c r="G31" s="214"/>
      <c r="H31" s="213" t="s">
        <v>43</v>
      </c>
      <c r="I31" s="214"/>
      <c r="J31" s="215" t="s">
        <v>44</v>
      </c>
      <c r="K31" s="216"/>
    </row>
    <row r="32" spans="1:12" x14ac:dyDescent="0.25">
      <c r="A32" s="209"/>
      <c r="B32" s="211"/>
      <c r="C32" s="210"/>
      <c r="D32" s="98" t="s">
        <v>40</v>
      </c>
      <c r="E32" s="98" t="s">
        <v>41</v>
      </c>
      <c r="F32" s="98" t="s">
        <v>40</v>
      </c>
      <c r="G32" s="98" t="s">
        <v>41</v>
      </c>
      <c r="H32" s="98" t="s">
        <v>40</v>
      </c>
      <c r="I32" s="98" t="s">
        <v>41</v>
      </c>
      <c r="J32" s="99" t="s">
        <v>40</v>
      </c>
      <c r="K32" s="100" t="s">
        <v>41</v>
      </c>
    </row>
    <row r="33" spans="1:11" x14ac:dyDescent="0.25">
      <c r="A33" s="125">
        <v>1</v>
      </c>
      <c r="B33" s="126">
        <v>6925</v>
      </c>
      <c r="C33" s="127" t="s">
        <v>128</v>
      </c>
      <c r="D33" s="128"/>
      <c r="E33" s="128">
        <f t="shared" si="4"/>
        <v>0</v>
      </c>
      <c r="F33" s="128"/>
      <c r="G33" s="128">
        <f t="shared" si="5"/>
        <v>0</v>
      </c>
      <c r="H33" s="128"/>
      <c r="I33" s="128">
        <f t="shared" si="6"/>
        <v>0</v>
      </c>
      <c r="J33" s="129"/>
      <c r="K33" s="130">
        <f t="shared" si="7"/>
        <v>0</v>
      </c>
    </row>
    <row r="34" spans="1:11" ht="12.75" customHeight="1" thickBot="1" x14ac:dyDescent="0.3">
      <c r="A34" s="27"/>
      <c r="B34" s="55"/>
      <c r="C34" s="28"/>
      <c r="D34" s="39"/>
      <c r="E34" s="39"/>
      <c r="F34" s="39"/>
      <c r="G34" s="39"/>
      <c r="H34" s="39"/>
      <c r="I34" s="39"/>
      <c r="J34" s="45"/>
      <c r="K34" s="46"/>
    </row>
    <row r="35" spans="1:11" ht="12" customHeight="1" thickBot="1" x14ac:dyDescent="0.3">
      <c r="A35" s="90"/>
      <c r="B35" s="29"/>
      <c r="D35" s="101" t="s">
        <v>3</v>
      </c>
      <c r="E35" s="102">
        <f>SUM(E33:E34)</f>
        <v>0</v>
      </c>
      <c r="F35" s="103" t="s">
        <v>3</v>
      </c>
      <c r="G35" s="102">
        <f>SUM(G33:G34)</f>
        <v>0</v>
      </c>
      <c r="H35" s="103" t="s">
        <v>3</v>
      </c>
      <c r="I35" s="102">
        <f>SUM(I33:I34)</f>
        <v>0</v>
      </c>
      <c r="J35" s="103" t="s">
        <v>3</v>
      </c>
      <c r="K35" s="104">
        <f>SUM(K33:K34)</f>
        <v>0</v>
      </c>
    </row>
    <row r="36" spans="1:11" x14ac:dyDescent="0.25">
      <c r="A36" s="248" t="s">
        <v>112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 customHeight="1" thickBot="1" x14ac:dyDescent="0.3">
      <c r="A37" s="263" t="s">
        <v>98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pans="1:11" x14ac:dyDescent="0.25">
      <c r="A38" s="30"/>
      <c r="B38" s="31"/>
      <c r="C38" s="15"/>
      <c r="D38" s="15"/>
      <c r="E38" s="47"/>
      <c r="F38" s="48" t="s">
        <v>136</v>
      </c>
      <c r="G38" s="47"/>
      <c r="H38" s="15"/>
      <c r="I38" s="15"/>
      <c r="J38" s="15"/>
      <c r="K38" s="16"/>
    </row>
    <row r="39" spans="1:11" x14ac:dyDescent="0.25">
      <c r="A39" s="242" t="s">
        <v>135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3.75" customHeight="1" x14ac:dyDescent="0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idden="1" x14ac:dyDescent="0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5.75" hidden="1" thickBot="1" x14ac:dyDescent="0.3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8"/>
    </row>
    <row r="43" spans="1:11" hidden="1" x14ac:dyDescent="0.25">
      <c r="A43" s="30"/>
      <c r="B43" s="31"/>
      <c r="C43" s="15"/>
      <c r="D43" s="15"/>
      <c r="E43" s="15"/>
      <c r="F43" s="47" t="s">
        <v>73</v>
      </c>
      <c r="G43" s="15"/>
      <c r="H43" s="15"/>
      <c r="I43" s="15"/>
      <c r="J43" s="15"/>
      <c r="K43" s="16"/>
    </row>
    <row r="44" spans="1:11" ht="16.5" customHeight="1" x14ac:dyDescent="0.25">
      <c r="A44" s="257" t="s">
        <v>79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9"/>
    </row>
    <row r="45" spans="1:11" ht="16.5" customHeight="1" x14ac:dyDescent="0.25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9"/>
    </row>
    <row r="46" spans="1:11" ht="38.25" hidden="1" customHeight="1" thickBot="1" x14ac:dyDescent="0.25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</row>
    <row r="47" spans="1:11" x14ac:dyDescent="0.25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</row>
    <row r="48" spans="1:11" ht="9.75" customHeight="1" thickBot="1" x14ac:dyDescent="0.3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</row>
    <row r="49" spans="1:11" ht="15.75" hidden="1" thickBot="1" x14ac:dyDescent="0.3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5.75" hidden="1" thickBot="1" x14ac:dyDescent="0.3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spans="1:11" x14ac:dyDescent="0.25">
      <c r="A51" s="251" t="s">
        <v>108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3"/>
    </row>
    <row r="52" spans="1:11" ht="15.75" thickBot="1" x14ac:dyDescent="0.3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5.75" thickBot="1" x14ac:dyDescent="0.3">
      <c r="A53" s="239" t="s">
        <v>114</v>
      </c>
      <c r="B53" s="240"/>
      <c r="C53" s="240"/>
      <c r="D53" s="240"/>
      <c r="E53" s="240"/>
      <c r="F53" s="240"/>
      <c r="G53" s="240"/>
      <c r="H53" s="240"/>
      <c r="I53" s="240"/>
      <c r="J53" s="240"/>
      <c r="K53" s="241"/>
    </row>
    <row r="54" spans="1:11" x14ac:dyDescent="0.25">
      <c r="A54" s="82" t="s">
        <v>22</v>
      </c>
      <c r="B54" s="83"/>
      <c r="C54" s="84"/>
      <c r="D54" s="84"/>
      <c r="E54" s="84"/>
      <c r="F54" s="84"/>
      <c r="G54" s="84"/>
      <c r="H54" s="84"/>
      <c r="I54" s="84"/>
      <c r="J54" s="84"/>
      <c r="K54" s="85"/>
    </row>
    <row r="55" spans="1:11" x14ac:dyDescent="0.25">
      <c r="A55" s="86" t="str">
        <f>Cotação!A46</f>
        <v>Valdete Aparecida Andrett</v>
      </c>
      <c r="K55" s="17"/>
    </row>
    <row r="56" spans="1:11" x14ac:dyDescent="0.25">
      <c r="A56" s="87" t="str">
        <f>Cotação!A47</f>
        <v>valdete.andrett@scgas.com.br</v>
      </c>
      <c r="B56" s="10"/>
      <c r="C56" s="10"/>
      <c r="D56" s="10"/>
      <c r="E56" s="10"/>
      <c r="K56" s="17"/>
    </row>
    <row r="57" spans="1:11" ht="15.75" thickBot="1" x14ac:dyDescent="0.3">
      <c r="A57" s="88" t="s">
        <v>34</v>
      </c>
      <c r="B57" s="89"/>
      <c r="C57" s="89"/>
      <c r="D57" s="89"/>
      <c r="E57" s="89"/>
      <c r="F57" s="20"/>
      <c r="G57" s="20"/>
      <c r="H57" s="20"/>
      <c r="I57" s="20"/>
      <c r="J57" s="20"/>
      <c r="K57" s="21"/>
    </row>
  </sheetData>
  <mergeCells count="44">
    <mergeCell ref="A53:K53"/>
    <mergeCell ref="A39:K41"/>
    <mergeCell ref="A36:K36"/>
    <mergeCell ref="A17:A18"/>
    <mergeCell ref="B17:B18"/>
    <mergeCell ref="F17:G17"/>
    <mergeCell ref="H17:I17"/>
    <mergeCell ref="J17:K17"/>
    <mergeCell ref="D17:E17"/>
    <mergeCell ref="C17:C18"/>
    <mergeCell ref="A51:K52"/>
    <mergeCell ref="A44:K50"/>
    <mergeCell ref="A37:K37"/>
    <mergeCell ref="A30:K30"/>
    <mergeCell ref="A31:A32"/>
    <mergeCell ref="B31:B32"/>
    <mergeCell ref="A16:K16"/>
    <mergeCell ref="A4:B4"/>
    <mergeCell ref="A5:B5"/>
    <mergeCell ref="C4:F4"/>
    <mergeCell ref="C5:F5"/>
    <mergeCell ref="G4:K4"/>
    <mergeCell ref="G5:K5"/>
    <mergeCell ref="B11:I11"/>
    <mergeCell ref="B12:I12"/>
    <mergeCell ref="B13:I13"/>
    <mergeCell ref="A6:K7"/>
    <mergeCell ref="B14:I14"/>
    <mergeCell ref="B9:I9"/>
    <mergeCell ref="B10:I10"/>
    <mergeCell ref="B8:I8"/>
    <mergeCell ref="C31:C32"/>
    <mergeCell ref="D31:E31"/>
    <mergeCell ref="F31:G31"/>
    <mergeCell ref="H31:I31"/>
    <mergeCell ref="J31:K31"/>
    <mergeCell ref="A23:K23"/>
    <mergeCell ref="A24:A25"/>
    <mergeCell ref="B24:B25"/>
    <mergeCell ref="C24:C25"/>
    <mergeCell ref="D24:E24"/>
    <mergeCell ref="F24:G24"/>
    <mergeCell ref="H24:I24"/>
    <mergeCell ref="J24:K24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A39:K41</xm:sqref>
        </x14:dataValidation>
        <x14:dataValidation type="list" allowBlank="1" xr:uid="{00000000-0002-0000-0100-000002000000}">
          <x14:formula1>
            <xm:f>'NÃO EXLUIR'!$M$83:$M$86</xm:f>
          </x14:formula1>
          <xm:sqref>A44:K50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29" sqref="A29"/>
    </sheetView>
  </sheetViews>
  <sheetFormatPr defaultColWidth="9.140625" defaultRowHeight="15" x14ac:dyDescent="0.25"/>
  <cols>
    <col min="1" max="3" width="9.140625" style="5"/>
    <col min="4" max="4" width="10.42578125" style="5" customWidth="1"/>
    <col min="5" max="5" width="9.140625" style="5"/>
    <col min="6" max="6" width="13.42578125" style="5" customWidth="1"/>
    <col min="7" max="7" width="8.28515625" style="5" customWidth="1"/>
    <col min="8" max="8" width="10.42578125" style="5" customWidth="1"/>
    <col min="9" max="9" width="14.28515625" style="5" customWidth="1"/>
    <col min="10" max="12" width="9.140625" style="5"/>
    <col min="13" max="14" width="12.42578125" style="5" bestFit="1" customWidth="1"/>
    <col min="15" max="16384" width="9.140625" style="5"/>
  </cols>
  <sheetData>
    <row r="1" spans="1:11" x14ac:dyDescent="0.25">
      <c r="H1" s="6"/>
    </row>
    <row r="2" spans="1:11" ht="15.75" thickBot="1" x14ac:dyDescent="0.3">
      <c r="A2" s="7"/>
      <c r="B2" s="7"/>
      <c r="C2" s="7"/>
      <c r="D2" s="7"/>
      <c r="E2" s="7"/>
      <c r="F2" s="7"/>
      <c r="G2" s="32"/>
      <c r="H2" s="7"/>
      <c r="I2" s="8" t="s">
        <v>23</v>
      </c>
      <c r="J2" s="9" t="str">
        <f>Cotação!K2</f>
        <v>034/2026</v>
      </c>
      <c r="K2" s="7"/>
    </row>
    <row r="3" spans="1:11" ht="16.5" thickTop="1" thickBot="1" x14ac:dyDescent="0.3"/>
    <row r="4" spans="1:11" s="10" customFormat="1" x14ac:dyDescent="0.25">
      <c r="A4" s="217" t="s">
        <v>0</v>
      </c>
      <c r="B4" s="218"/>
      <c r="C4" s="223" t="s">
        <v>107</v>
      </c>
      <c r="D4" s="223"/>
      <c r="E4" s="223"/>
      <c r="F4" s="223"/>
      <c r="G4" s="217" t="s">
        <v>110</v>
      </c>
      <c r="H4" s="223"/>
      <c r="I4" s="223"/>
      <c r="J4" s="223"/>
      <c r="K4" s="218"/>
    </row>
    <row r="5" spans="1:11" ht="15.75" thickBot="1" x14ac:dyDescent="0.3">
      <c r="A5" s="219" t="str">
        <f>J2</f>
        <v>034/2026</v>
      </c>
      <c r="B5" s="220"/>
      <c r="C5" s="222">
        <f>Cotação!C4</f>
        <v>46169</v>
      </c>
      <c r="D5" s="222"/>
      <c r="E5" s="222"/>
      <c r="F5" s="222"/>
      <c r="G5" s="224">
        <f>Cotação!H4</f>
        <v>46185</v>
      </c>
      <c r="H5" s="222"/>
      <c r="I5" s="222"/>
      <c r="J5" s="222"/>
      <c r="K5" s="225"/>
    </row>
    <row r="6" spans="1:11" x14ac:dyDescent="0.25">
      <c r="E6" s="10" t="s">
        <v>74</v>
      </c>
    </row>
    <row r="7" spans="1:11" x14ac:dyDescent="0.25">
      <c r="A7" s="5" t="s">
        <v>113</v>
      </c>
    </row>
    <row r="8" spans="1:11" ht="15.75" thickBot="1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269" t="s">
        <v>1</v>
      </c>
      <c r="B9" s="271" t="s">
        <v>24</v>
      </c>
      <c r="C9" s="271" t="s">
        <v>25</v>
      </c>
      <c r="D9" s="273" t="s">
        <v>102</v>
      </c>
      <c r="E9" s="274"/>
      <c r="F9" s="274"/>
      <c r="G9" s="274"/>
      <c r="H9" s="275"/>
      <c r="I9" s="271" t="s">
        <v>95</v>
      </c>
      <c r="J9" s="279" t="s">
        <v>2</v>
      </c>
      <c r="K9" s="280"/>
    </row>
    <row r="10" spans="1:11" x14ac:dyDescent="0.25">
      <c r="A10" s="270"/>
      <c r="B10" s="272"/>
      <c r="C10" s="272"/>
      <c r="D10" s="276"/>
      <c r="E10" s="277"/>
      <c r="F10" s="277"/>
      <c r="G10" s="277"/>
      <c r="H10" s="278"/>
      <c r="I10" s="272"/>
      <c r="J10" s="281" t="s">
        <v>77</v>
      </c>
      <c r="K10" s="282"/>
    </row>
    <row r="11" spans="1:11" x14ac:dyDescent="0.25">
      <c r="A11" s="38">
        <v>1</v>
      </c>
      <c r="B11" s="56">
        <f>IF(Cotação!B9="","",Cotação!B9)</f>
        <v>31</v>
      </c>
      <c r="C11" s="51" t="str">
        <f>IF(Cotação!C9="","",Cotação!C9)</f>
        <v>Unid.</v>
      </c>
      <c r="D11" s="266" t="str">
        <f>IF(Cotação!D9="","",Cotação!D9)</f>
        <v>Equipamentos de Ar Condicionado</v>
      </c>
      <c r="E11" s="267"/>
      <c r="F11" s="267"/>
      <c r="G11" s="267"/>
      <c r="H11" s="268"/>
      <c r="I11" s="50"/>
      <c r="J11" s="283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0</v>
      </c>
      <c r="K11" s="284"/>
    </row>
    <row r="12" spans="1:11" x14ac:dyDescent="0.25">
      <c r="A12" s="11">
        <v>2</v>
      </c>
      <c r="B12" s="56">
        <f>IF(Cotação!B10="","",Cotação!B10)</f>
        <v>5</v>
      </c>
      <c r="C12" s="51" t="str">
        <f>IF(Cotação!C10="","",Cotação!C10)</f>
        <v>Unid.</v>
      </c>
      <c r="D12" s="266" t="str">
        <f>IF(Cotação!D10="","",Cotação!D10)</f>
        <v>Bebedouros de garrafão coluna</v>
      </c>
      <c r="E12" s="267"/>
      <c r="F12" s="267"/>
      <c r="G12" s="267"/>
      <c r="H12" s="268"/>
      <c r="I12" s="12"/>
      <c r="J12" s="283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>0</v>
      </c>
      <c r="K12" s="284"/>
    </row>
    <row r="13" spans="1:11" x14ac:dyDescent="0.25">
      <c r="A13" s="11">
        <v>3</v>
      </c>
      <c r="B13" s="56">
        <f>IF(Cotação!B11="","",Cotação!B11)</f>
        <v>1</v>
      </c>
      <c r="C13" s="51" t="str">
        <f>IF(Cotação!C11="","",Cotação!C11)</f>
        <v>Unid.</v>
      </c>
      <c r="D13" s="266" t="str">
        <f>IF(Cotação!D11="","",Cotação!D11)</f>
        <v>Desumidificador de ambiente</v>
      </c>
      <c r="E13" s="267"/>
      <c r="F13" s="267"/>
      <c r="G13" s="267"/>
      <c r="H13" s="268"/>
      <c r="I13" s="12"/>
      <c r="J13" s="283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>0</v>
      </c>
      <c r="K13" s="284"/>
    </row>
    <row r="14" spans="1:11" x14ac:dyDescent="0.25">
      <c r="A14" s="11">
        <v>4</v>
      </c>
      <c r="B14" s="56" t="e">
        <f>IF(Cotação!#REF!="","",Cotação!#REF!)</f>
        <v>#REF!</v>
      </c>
      <c r="C14" s="51" t="e">
        <f>IF(Cotação!#REF!="","",Cotação!#REF!)</f>
        <v>#REF!</v>
      </c>
      <c r="D14" s="266" t="e">
        <f>IF(Cotação!#REF!="","",Cotação!#REF!)</f>
        <v>#REF!</v>
      </c>
      <c r="E14" s="267"/>
      <c r="F14" s="267"/>
      <c r="G14" s="267"/>
      <c r="H14" s="268"/>
      <c r="I14" s="12"/>
      <c r="J14" s="283" t="e">
        <f>IF('NÃO EXLUIR'!$N$96=TRUE,Comparativo!#REF!,IF('NÃO EXLUIR'!$N$97=TRUE,Comparativo!#REF!,IF('NÃO EXLUIR'!$N$98=TRUE,Comparativo!#REF!,IF('NÃO EXLUIR'!$N$99=TRUE,Comparativo!#REF!,IF('NÃO EXLUIR'!$N$101=TRUE,Comparativo!#REF!,IF('NÃO EXLUIR'!$N$102=TRUE,Comparativo!#REF!,IF('NÃO EXLUIR'!$N$103=TRUE,Comparativo!#REF!,IF('NÃO EXLUIR'!$N$104=TRUE,Comparativo!#REF!,IF('NÃO EXLUIR'!$N$106=TRUE,Comparativo!#REF!,IF('NÃO EXLUIR'!$N$107=TRUE,Comparativo!#REF!,IF('NÃO EXLUIR'!$N$108=TRUE,Comparativo!#REF!,IF('NÃO EXLUIR'!$N$109=TRUE,Comparativo!#REF!,""))))))))))))</f>
        <v>#REF!</v>
      </c>
      <c r="K14" s="284"/>
    </row>
    <row r="15" spans="1:11" x14ac:dyDescent="0.25">
      <c r="A15" s="11">
        <v>5</v>
      </c>
      <c r="B15" s="56" t="e">
        <f>IF(Cotação!#REF!="","",Cotação!#REF!)</f>
        <v>#REF!</v>
      </c>
      <c r="C15" s="51" t="e">
        <f>IF(Cotação!#REF!="","",Cotação!#REF!)</f>
        <v>#REF!</v>
      </c>
      <c r="D15" s="266" t="e">
        <f>IF(Cotação!#REF!="","",Cotação!#REF!)</f>
        <v>#REF!</v>
      </c>
      <c r="E15" s="267"/>
      <c r="F15" s="267"/>
      <c r="G15" s="267"/>
      <c r="H15" s="268"/>
      <c r="I15" s="12"/>
      <c r="J15" s="283" t="e">
        <f>IF('NÃO EXLUIR'!$N$96=TRUE,Comparativo!#REF!,IF('NÃO EXLUIR'!$N$97=TRUE,Comparativo!#REF!,IF('NÃO EXLUIR'!$N$98=TRUE,Comparativo!#REF!,IF('NÃO EXLUIR'!$N$99=TRUE,Comparativo!#REF!,IF('NÃO EXLUIR'!$N$101=TRUE,Comparativo!#REF!,IF('NÃO EXLUIR'!$N$102=TRUE,Comparativo!#REF!,IF('NÃO EXLUIR'!$N$103=TRUE,Comparativo!#REF!,IF('NÃO EXLUIR'!$N$104=TRUE,Comparativo!#REF!,IF('NÃO EXLUIR'!$N$106=TRUE,Comparativo!#REF!,IF('NÃO EXLUIR'!$N$107=TRUE,Comparativo!#REF!,IF('NÃO EXLUIR'!$N$108=TRUE,Comparativo!#REF!,IF('NÃO EXLUIR'!$N$109=TRUE,Comparativo!#REF!,""))))))))))))</f>
        <v>#REF!</v>
      </c>
      <c r="K15" s="284"/>
    </row>
    <row r="16" spans="1:11" x14ac:dyDescent="0.25">
      <c r="A16" s="11">
        <v>6</v>
      </c>
      <c r="B16" s="56" t="e">
        <f>IF(Cotação!#REF!="","",Cotação!#REF!)</f>
        <v>#REF!</v>
      </c>
      <c r="C16" s="51" t="e">
        <f>IF(Cotação!#REF!="","",Cotação!#REF!)</f>
        <v>#REF!</v>
      </c>
      <c r="D16" s="266" t="e">
        <f>IF(Cotação!#REF!="","",Cotação!#REF!)</f>
        <v>#REF!</v>
      </c>
      <c r="E16" s="267"/>
      <c r="F16" s="267"/>
      <c r="G16" s="267"/>
      <c r="H16" s="268"/>
      <c r="I16" s="12"/>
      <c r="J16" s="283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>0</v>
      </c>
      <c r="K16" s="284"/>
    </row>
    <row r="17" spans="1:11" x14ac:dyDescent="0.25">
      <c r="A17" s="11">
        <v>7</v>
      </c>
      <c r="B17" s="56" t="e">
        <f>IF(Cotação!#REF!="","",Cotação!#REF!)</f>
        <v>#REF!</v>
      </c>
      <c r="C17" s="51" t="e">
        <f>IF(Cotação!#REF!="","",Cotação!#REF!)</f>
        <v>#REF!</v>
      </c>
      <c r="D17" s="266" t="e">
        <f>IF(Cotação!#REF!="","",Cotação!#REF!)</f>
        <v>#REF!</v>
      </c>
      <c r="E17" s="267"/>
      <c r="F17" s="267"/>
      <c r="G17" s="267"/>
      <c r="H17" s="268"/>
      <c r="I17" s="12"/>
      <c r="J17" s="283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>0</v>
      </c>
      <c r="K17" s="284"/>
    </row>
    <row r="18" spans="1:11" x14ac:dyDescent="0.25">
      <c r="A18" s="11">
        <v>8</v>
      </c>
      <c r="B18" s="56" t="e">
        <f>IF(Cotação!#REF!="","",Cotação!#REF!)</f>
        <v>#REF!</v>
      </c>
      <c r="C18" s="51" t="e">
        <f>IF(Cotação!#REF!="","",Cotação!#REF!)</f>
        <v>#REF!</v>
      </c>
      <c r="D18" s="266" t="e">
        <f>IF(Cotação!#REF!="","",Cotação!#REF!)</f>
        <v>#REF!</v>
      </c>
      <c r="E18" s="267"/>
      <c r="F18" s="267"/>
      <c r="G18" s="267"/>
      <c r="H18" s="268"/>
      <c r="I18" s="12"/>
      <c r="J18" s="283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>0</v>
      </c>
      <c r="K18" s="284"/>
    </row>
    <row r="19" spans="1:11" x14ac:dyDescent="0.25">
      <c r="A19" s="11">
        <v>9</v>
      </c>
      <c r="B19" s="56" t="e">
        <f>IF(Cotação!#REF!="","",Cotação!#REF!)</f>
        <v>#REF!</v>
      </c>
      <c r="C19" s="51" t="e">
        <f>IF(Cotação!#REF!="","",Cotação!#REF!)</f>
        <v>#REF!</v>
      </c>
      <c r="D19" s="266" t="e">
        <f>IF(Cotação!#REF!="","",Cotação!#REF!)</f>
        <v>#REF!</v>
      </c>
      <c r="E19" s="267"/>
      <c r="F19" s="267"/>
      <c r="G19" s="267"/>
      <c r="H19" s="268"/>
      <c r="I19" s="12"/>
      <c r="J19" s="283" t="e">
        <f>IF('NÃO EXLUIR'!$N$96=TRUE,Comparativo!#REF!,IF('NÃO EXLUIR'!$N$97=TRUE,Comparativo!#REF!,IF('NÃO EXLUIR'!$N$98=TRUE,Comparativo!#REF!,IF('NÃO EXLUIR'!$N$99=TRUE,Comparativo!#REF!,IF('NÃO EXLUIR'!$N$101=TRUE,Comparativo!#REF!,IF('NÃO EXLUIR'!$N$102=TRUE,Comparativo!#REF!,IF('NÃO EXLUIR'!$N$103=TRUE,Comparativo!#REF!,IF('NÃO EXLUIR'!$N$104=TRUE,Comparativo!#REF!,IF('NÃO EXLUIR'!$N$106=TRUE,Comparativo!#REF!,IF('NÃO EXLUIR'!$N$107=TRUE,Comparativo!#REF!,IF('NÃO EXLUIR'!$N$108=TRUE,Comparativo!#REF!,IF('NÃO EXLUIR'!$N$109=TRUE,Comparativo!#REF!,""))))))))))))</f>
        <v>#REF!</v>
      </c>
      <c r="K19" s="284"/>
    </row>
    <row r="20" spans="1:11" x14ac:dyDescent="0.25">
      <c r="A20" s="11">
        <v>10</v>
      </c>
      <c r="B20" s="56" t="e">
        <f>IF(Cotação!#REF!="","",Cotação!#REF!)</f>
        <v>#REF!</v>
      </c>
      <c r="C20" s="51" t="e">
        <f>IF(Cotação!#REF!="","",Cotação!#REF!)</f>
        <v>#REF!</v>
      </c>
      <c r="D20" s="266" t="e">
        <f>IF(Cotação!#REF!="","",Cotação!#REF!)</f>
        <v>#REF!</v>
      </c>
      <c r="E20" s="267"/>
      <c r="F20" s="267"/>
      <c r="G20" s="267"/>
      <c r="H20" s="268"/>
      <c r="I20" s="12"/>
      <c r="J20" s="283">
        <f>IF('NÃO EXLUIR'!$N$96=TRUE,Comparativo!E34,IF('NÃO EXLUIR'!$N$97=TRUE,Comparativo!G34,IF('NÃO EXLUIR'!$N$98=TRUE,Comparativo!I34,IF('NÃO EXLUIR'!$N$99=TRUE,Comparativo!K34,IF('NÃO EXLUIR'!$N$101=TRUE,Comparativo!E34,IF('NÃO EXLUIR'!$N$102=TRUE,Comparativo!G34,IF('NÃO EXLUIR'!$N$103=TRUE,Comparativo!I34,IF('NÃO EXLUIR'!$N$104=TRUE,Comparativo!K34,IF('NÃO EXLUIR'!$N$106=TRUE,Comparativo!E34,IF('NÃO EXLUIR'!$N$107=TRUE,Comparativo!G34,IF('NÃO EXLUIR'!$N$108=TRUE,Comparativo!I34,IF('NÃO EXLUIR'!$N$109=TRUE,Comparativo!K34,""))))))))))))</f>
        <v>0</v>
      </c>
      <c r="K20" s="284"/>
    </row>
    <row r="21" spans="1:11" x14ac:dyDescent="0.25">
      <c r="A21" s="11">
        <v>11</v>
      </c>
      <c r="B21" s="56" t="e">
        <f>IF(Cotação!#REF!="","",Cotação!#REF!)</f>
        <v>#REF!</v>
      </c>
      <c r="C21" s="51" t="e">
        <f>IF(Cotação!#REF!="","",Cotação!#REF!)</f>
        <v>#REF!</v>
      </c>
      <c r="D21" s="266" t="e">
        <f>IF(Cotação!#REF!="","",Cotação!#REF!)</f>
        <v>#REF!</v>
      </c>
      <c r="E21" s="267"/>
      <c r="F21" s="267"/>
      <c r="G21" s="267"/>
      <c r="H21" s="268"/>
      <c r="I21" s="12"/>
      <c r="J21" s="283" t="e">
        <f>IF('NÃO EXLUIR'!$N$96=TRUE,Comparativo!#REF!,IF('NÃO EXLUIR'!$N$97=TRUE,Comparativo!#REF!,IF('NÃO EXLUIR'!$N$98=TRUE,Comparativo!#REF!,IF('NÃO EXLUIR'!$N$99=TRUE,Comparativo!#REF!,IF('NÃO EXLUIR'!$N$101=TRUE,Comparativo!#REF!,IF('NÃO EXLUIR'!$N$102=TRUE,Comparativo!#REF!,IF('NÃO EXLUIR'!$N$103=TRUE,Comparativo!#REF!,IF('NÃO EXLUIR'!$N$104=TRUE,Comparativo!#REF!,IF('NÃO EXLUIR'!$N$106=TRUE,Comparativo!#REF!,IF('NÃO EXLUIR'!$N$107=TRUE,Comparativo!#REF!,IF('NÃO EXLUIR'!$N$108=TRUE,Comparativo!#REF!,IF('NÃO EXLUIR'!$N$109=TRUE,Comparativo!#REF!,""))))))))))))</f>
        <v>#REF!</v>
      </c>
      <c r="K21" s="284"/>
    </row>
    <row r="22" spans="1:11" x14ac:dyDescent="0.25">
      <c r="A22" s="11">
        <v>12</v>
      </c>
      <c r="B22" s="56" t="e">
        <f>IF(Cotação!#REF!="","",Cotação!#REF!)</f>
        <v>#REF!</v>
      </c>
      <c r="C22" s="51" t="e">
        <f>IF(Cotação!#REF!="","",Cotação!#REF!)</f>
        <v>#REF!</v>
      </c>
      <c r="D22" s="266" t="e">
        <f>IF(Cotação!#REF!="","",Cotação!#REF!)</f>
        <v>#REF!</v>
      </c>
      <c r="E22" s="267"/>
      <c r="F22" s="267"/>
      <c r="G22" s="267"/>
      <c r="H22" s="268"/>
      <c r="I22" s="12"/>
      <c r="J22" s="283" t="e">
        <f>IF('NÃO EXLUIR'!$N$96=TRUE,Comparativo!#REF!,IF('NÃO EXLUIR'!$N$97=TRUE,Comparativo!#REF!,IF('NÃO EXLUIR'!$N$98=TRUE,Comparativo!#REF!,IF('NÃO EXLUIR'!$N$99=TRUE,Comparativo!#REF!,IF('NÃO EXLUIR'!$N$101=TRUE,Comparativo!#REF!,IF('NÃO EXLUIR'!$N$102=TRUE,Comparativo!#REF!,IF('NÃO EXLUIR'!$N$103=TRUE,Comparativo!#REF!,IF('NÃO EXLUIR'!$N$104=TRUE,Comparativo!#REF!,IF('NÃO EXLUIR'!$N$106=TRUE,Comparativo!#REF!,IF('NÃO EXLUIR'!$N$107=TRUE,Comparativo!#REF!,IF('NÃO EXLUIR'!$N$108=TRUE,Comparativo!#REF!,IF('NÃO EXLUIR'!$N$109=TRUE,Comparativo!#REF!,""))))))))))))</f>
        <v>#REF!</v>
      </c>
      <c r="K22" s="284"/>
    </row>
    <row r="23" spans="1:11" x14ac:dyDescent="0.25">
      <c r="A23" s="11">
        <v>13</v>
      </c>
      <c r="B23" s="56" t="str">
        <f>IF(Cotação!B13="","",Cotação!B13)</f>
        <v/>
      </c>
      <c r="C23" s="51" t="str">
        <f>IF(Cotação!C13="","",Cotação!C13)</f>
        <v/>
      </c>
      <c r="D23" s="266" t="str">
        <f>IF(Cotação!D13="","",Cotação!D13)</f>
        <v/>
      </c>
      <c r="E23" s="267"/>
      <c r="F23" s="267"/>
      <c r="G23" s="267"/>
      <c r="H23" s="268"/>
      <c r="I23" s="12"/>
      <c r="J23" s="283" t="e">
        <f>IF('NÃO EXLUIR'!$N$96=TRUE,Comparativo!#REF!,IF('NÃO EXLUIR'!$N$97=TRUE,Comparativo!#REF!,IF('NÃO EXLUIR'!$N$98=TRUE,Comparativo!#REF!,IF('NÃO EXLUIR'!$N$99=TRUE,Comparativo!#REF!,IF('NÃO EXLUIR'!$N$101=TRUE,Comparativo!#REF!,IF('NÃO EXLUIR'!$N$102=TRUE,Comparativo!#REF!,IF('NÃO EXLUIR'!$N$103=TRUE,Comparativo!#REF!,IF('NÃO EXLUIR'!$N$104=TRUE,Comparativo!#REF!,IF('NÃO EXLUIR'!$N$106=TRUE,Comparativo!#REF!,IF('NÃO EXLUIR'!$N$107=TRUE,Comparativo!#REF!,IF('NÃO EXLUIR'!$N$108=TRUE,Comparativo!#REF!,IF('NÃO EXLUIR'!$N$109=TRUE,Comparativo!#REF!,""))))))))))))</f>
        <v>#REF!</v>
      </c>
      <c r="K23" s="284"/>
    </row>
    <row r="24" spans="1:11" x14ac:dyDescent="0.25">
      <c r="A24" s="11">
        <v>14</v>
      </c>
      <c r="B24" s="56" t="str">
        <f>IF(Cotação!B14="","",Cotação!B14)</f>
        <v/>
      </c>
      <c r="C24" s="51" t="str">
        <f>IF(Cotação!C14="","",Cotação!C14)</f>
        <v/>
      </c>
      <c r="D24" s="266" t="str">
        <f>IF(Cotação!D14="","",Cotação!D14)</f>
        <v/>
      </c>
      <c r="E24" s="267"/>
      <c r="F24" s="267"/>
      <c r="G24" s="267"/>
      <c r="H24" s="268"/>
      <c r="I24" s="12"/>
      <c r="J24" s="283" t="e">
        <f>IF('NÃO EXLUIR'!$N$96=TRUE,Comparativo!#REF!,IF('NÃO EXLUIR'!$N$97=TRUE,Comparativo!#REF!,IF('NÃO EXLUIR'!$N$98=TRUE,Comparativo!#REF!,IF('NÃO EXLUIR'!$N$99=TRUE,Comparativo!#REF!,IF('NÃO EXLUIR'!$N$101=TRUE,Comparativo!#REF!,IF('NÃO EXLUIR'!$N$102=TRUE,Comparativo!#REF!,IF('NÃO EXLUIR'!$N$103=TRUE,Comparativo!#REF!,IF('NÃO EXLUIR'!$N$104=TRUE,Comparativo!#REF!,IF('NÃO EXLUIR'!$N$106=TRUE,Comparativo!#REF!,IF('NÃO EXLUIR'!$N$107=TRUE,Comparativo!#REF!,IF('NÃO EXLUIR'!$N$108=TRUE,Comparativo!#REF!,IF('NÃO EXLUIR'!$N$109=TRUE,Comparativo!#REF!,""))))))))))))</f>
        <v>#REF!</v>
      </c>
      <c r="K24" s="284"/>
    </row>
    <row r="25" spans="1:11" x14ac:dyDescent="0.25">
      <c r="A25" s="11">
        <v>15</v>
      </c>
      <c r="B25" s="56" t="e">
        <f>IF(Cotação!#REF!="","",Cotação!#REF!)</f>
        <v>#REF!</v>
      </c>
      <c r="C25" s="51" t="e">
        <f>IF(Cotação!#REF!="","",Cotação!#REF!)</f>
        <v>#REF!</v>
      </c>
      <c r="D25" s="266" t="e">
        <f>IF(Cotação!#REF!="","",Cotação!#REF!)</f>
        <v>#REF!</v>
      </c>
      <c r="E25" s="267"/>
      <c r="F25" s="267"/>
      <c r="G25" s="267"/>
      <c r="H25" s="268"/>
      <c r="I25" s="12"/>
      <c r="J25" s="283" t="e">
        <f>IF('NÃO EXLUIR'!$N$96=TRUE,Comparativo!#REF!,IF('NÃO EXLUIR'!$N$97=TRUE,Comparativo!#REF!,IF('NÃO EXLUIR'!$N$98=TRUE,Comparativo!#REF!,IF('NÃO EXLUIR'!$N$99=TRUE,Comparativo!#REF!,IF('NÃO EXLUIR'!$N$101=TRUE,Comparativo!#REF!,IF('NÃO EXLUIR'!$N$102=TRUE,Comparativo!#REF!,IF('NÃO EXLUIR'!$N$103=TRUE,Comparativo!#REF!,IF('NÃO EXLUIR'!$N$104=TRUE,Comparativo!#REF!,IF('NÃO EXLUIR'!$N$106=TRUE,Comparativo!#REF!,IF('NÃO EXLUIR'!$N$107=TRUE,Comparativo!#REF!,IF('NÃO EXLUIR'!$N$108=TRUE,Comparativo!#REF!,IF('NÃO EXLUIR'!$N$109=TRUE,Comparativo!#REF!,""))))))))))))</f>
        <v>#REF!</v>
      </c>
      <c r="K25" s="284"/>
    </row>
    <row r="26" spans="1:11" x14ac:dyDescent="0.25">
      <c r="A26" s="6"/>
      <c r="D26" s="13"/>
      <c r="E26" s="13"/>
      <c r="F26" s="13"/>
      <c r="G26" s="13"/>
      <c r="H26" s="13"/>
    </row>
    <row r="28" spans="1:11" x14ac:dyDescent="0.25">
      <c r="A28" s="10" t="s">
        <v>22</v>
      </c>
      <c r="B28" s="10"/>
    </row>
    <row r="29" spans="1:11" ht="15.75" x14ac:dyDescent="0.25">
      <c r="A29" s="63" t="str">
        <f>Cotação!A46</f>
        <v>Valdete Aparecida Andrett</v>
      </c>
      <c r="B29" s="63"/>
      <c r="C29" s="63"/>
      <c r="D29" s="63"/>
      <c r="E29" s="63"/>
    </row>
    <row r="30" spans="1:11" ht="15.75" x14ac:dyDescent="0.25">
      <c r="A30" s="65" t="str">
        <f>Cotação!A47</f>
        <v>valdete.andrett@scgas.com.br</v>
      </c>
      <c r="B30" s="63"/>
      <c r="C30" s="63"/>
      <c r="D30" s="63"/>
      <c r="E30" s="63"/>
    </row>
    <row r="31" spans="1:11" ht="15" customHeight="1" x14ac:dyDescent="0.25">
      <c r="A31" s="63" t="s">
        <v>34</v>
      </c>
      <c r="B31" s="63"/>
      <c r="C31" s="63"/>
      <c r="D31" s="63"/>
      <c r="E31" s="63"/>
    </row>
  </sheetData>
  <mergeCells count="43">
    <mergeCell ref="J23:K23"/>
    <mergeCell ref="J24:K24"/>
    <mergeCell ref="J25:K25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I9:I10"/>
    <mergeCell ref="J9:K9"/>
    <mergeCell ref="J10:K10"/>
    <mergeCell ref="J11:K11"/>
    <mergeCell ref="J12:K1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A4:B4"/>
    <mergeCell ref="A5:B5"/>
    <mergeCell ref="C5:F5"/>
    <mergeCell ref="G4:K4"/>
    <mergeCell ref="G5:K5"/>
    <mergeCell ref="C4:F4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EXLUIR'!$H$83:$H$88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workbookViewId="0">
      <selection activeCell="J96" sqref="J96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3" t="s">
        <v>78</v>
      </c>
      <c r="C1" s="33"/>
      <c r="D1" s="33"/>
      <c r="E1" s="33"/>
      <c r="F1" s="33"/>
      <c r="G1" s="33"/>
      <c r="H1" s="33"/>
      <c r="I1" s="33"/>
      <c r="J1" s="33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46</v>
      </c>
      <c r="M84" s="1" t="s">
        <v>79</v>
      </c>
    </row>
    <row r="85" spans="1:14" ht="13.5" customHeight="1" x14ac:dyDescent="0.25">
      <c r="A85" s="1" t="s">
        <v>27</v>
      </c>
      <c r="D85" s="1" t="s">
        <v>31</v>
      </c>
      <c r="F85" s="71" t="s">
        <v>117</v>
      </c>
      <c r="H85" s="1" t="s">
        <v>94</v>
      </c>
      <c r="K85" s="3" t="s">
        <v>47</v>
      </c>
      <c r="M85" s="1" t="s">
        <v>81</v>
      </c>
    </row>
    <row r="86" spans="1:14" ht="13.5" customHeight="1" x14ac:dyDescent="0.25">
      <c r="A86" s="1" t="s">
        <v>28</v>
      </c>
      <c r="F86" s="1" t="s">
        <v>104</v>
      </c>
      <c r="H86" s="1" t="s">
        <v>36</v>
      </c>
      <c r="K86" s="3" t="s">
        <v>48</v>
      </c>
      <c r="M86" s="1" t="s">
        <v>80</v>
      </c>
    </row>
    <row r="87" spans="1:14" ht="13.5" customHeight="1" x14ac:dyDescent="0.25">
      <c r="D87" s="2" t="str">
        <f>IF(Cotação!J5="Materiais:","","SELECIONE")</f>
        <v/>
      </c>
      <c r="F87" s="1" t="s">
        <v>105</v>
      </c>
      <c r="H87" s="1" t="s">
        <v>89</v>
      </c>
      <c r="K87" s="3" t="s">
        <v>49</v>
      </c>
    </row>
    <row r="88" spans="1:14" ht="13.5" customHeight="1" x14ac:dyDescent="0.25">
      <c r="D88" s="1" t="str">
        <f>IF(Cotação!J5="Materiais:","","Único ao final")</f>
        <v/>
      </c>
      <c r="F88" s="1" t="s">
        <v>91</v>
      </c>
      <c r="H88" s="1" t="s">
        <v>88</v>
      </c>
      <c r="K88" s="3" t="s">
        <v>50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/>
      </c>
      <c r="F89" s="71" t="s">
        <v>106</v>
      </c>
      <c r="H89" s="1" t="s">
        <v>90</v>
      </c>
      <c r="K89" s="3" t="s">
        <v>51</v>
      </c>
      <c r="M89" s="1" t="s">
        <v>29</v>
      </c>
    </row>
    <row r="90" spans="1:14" ht="13.5" customHeight="1" x14ac:dyDescent="0.25">
      <c r="A90" s="1" t="s">
        <v>85</v>
      </c>
      <c r="D90" s="1" t="str">
        <f>IF(Cotação!J5="Materiais:","","De acordo com o cronograma")</f>
        <v/>
      </c>
      <c r="H90" s="1" t="s">
        <v>120</v>
      </c>
      <c r="K90" s="3" t="s">
        <v>52</v>
      </c>
      <c r="M90" s="4" t="str">
        <f>IF(Cotação!B9="",""," A empresa "&amp;IF(SMALL(Comparativo!D35:K35,1)=Comparativo!E35,Comparativo!B9,IF(SMALL(Comparativo!D35:K35,1)=Comparativo!G35,Comparativo!B10,IF(SMALL(Comparativo!D35:K35,1)=Comparativo!I35,Comparativo!B11,IF(SMALL(Comparativo!D35:K35,1)=Comparativo!K35,Comparativo!B12,""))))&amp;" foi a única a apresentar proposta comercial para o referido objeto, mesmo após reabertura de cotação, no valor total de R$ "&amp;TEXT(SMALL(Comparativo!D35:K35,1),"0.0,00")&amp;", o qual está compatível com o valor estimado pela área requerente.")</f>
        <v xml:space="preserve"> A empresa  foi a única a apresentar proposta comercial para o referido objeto, mesmo após reabertura de cotação, no valor total de R$ 00,00, o qual está compatível com o valor estimado pela área requerente.</v>
      </c>
    </row>
    <row r="91" spans="1:14" ht="13.5" customHeight="1" x14ac:dyDescent="0.25">
      <c r="A91" s="1" t="s">
        <v>82</v>
      </c>
      <c r="H91" s="1" t="s">
        <v>121</v>
      </c>
      <c r="K91" s="3" t="s">
        <v>53</v>
      </c>
      <c r="M91" s="4" t="str">
        <f>IF(Cotação!B9="",""," A empresa "&amp;IF(SMALL(Comparativo!D35:K35,1)=Comparativo!E35,Comparativo!B9,IF(SMALL(Comparativo!D35:K35,1)=Comparativo!G35,Comparativo!B10,IF(SMALL(Comparativo!D35:K35,1)=Comparativo!I35,Comparativo!B11,IF(SMALL(Comparativo!D35:K35,1)=Comparativo!K35,Comparativo!B12,""))))&amp;" apresentou a melhor proposta comercial para o referido objeto, no valor total de R$ "&amp;TEXT(SMALL(Comparativo!D35:K35,1),"0.0,00")&amp;", o qual está compatível com o valor estimado pela área requerente. A empresa "&amp;IF(SMALL(Comparativo!D35:K35,2)=Comparativo!E35,Comparativo!B9,IF(SMALL(Comparativo!D35:K35,2)=Comparativo!G35,Comparativo!B10,IF(SMALL(Comparativo!D35:K35,2)=Comparativo!I35,Comparativo!B11,IF(SMALL(Comparativo!D35:K35,2)=Comparativo!K35,Comparativo!B12,""))))&amp;" apresentou a segunda  melhor proposta, no valor total de R$ "&amp;TEXT((SMALL(Comparativo!D35:K35,2)),"0.0,00")&amp;".")</f>
        <v xml:space="preserve"> A empresa  apresentou a melhor proposta comercial para o referido objeto, no valor total de R$ 00,00, o qual está compatível com o valor estimado pela área requerente. A empresa  apresentou a segunda  melhor proposta, no valor total de R$ 00,00.</v>
      </c>
    </row>
    <row r="92" spans="1:14" ht="13.5" customHeight="1" x14ac:dyDescent="0.25">
      <c r="K92" s="3" t="s">
        <v>54</v>
      </c>
      <c r="M92" s="4" t="str">
        <f>IF(Cotação!B9="",""," A empresa "&amp;IF(SMALL(Comparativo!D35:K35,1)=Comparativo!E35,Comparativo!B9,IF(SMALL(Comparativo!D35:K35,1)=Comparativo!G35,Comparativo!B10,IF(SMALL(Comparativo!D35:K35,1)=Comparativo!I35,Comparativo!B11,IF(SMALL(Comparativo!D35:K35,1)=Comparativo!K35,Comparativo!B12,""))))&amp;" apresentou a melhor proposta comercial para o referido objeto, no valor total de R$ "&amp;TEXT(SMALL(Comparativo!D35:K35,1),"0.0,00")&amp;", o qual está compatível com o valor estimado pela área requerente. As empresas "&amp;IF(SMALL(Comparativo!D35:K35,2)=Comparativo!E35,Comparativo!B9,IF(SMALL(Comparativo!D35:K35,2)=Comparativo!G35,Comparativo!B10,IF(SMALL(Comparativo!D35:K35,2)=Comparativo!I35,Comparativo!B11,IF(SMALL(Comparativo!D35:K35,2)=Comparativo!K35,Comparativo!B12,""))))&amp;" e "&amp;IF(SMALL(Comparativo!D35:K35,3)=Comparativo!E35,Comparativo!B9,IF(SMALL(Comparativo!D35:K35,3)=Comparativo!G35,Comparativo!B10,IF(SMALL(Comparativo!D35:K35,3)=Comparativo!I35,Comparativo!B11,IF(SMALL(Comparativo!D35:K35,3)=Comparativo!K35,Comparativo!B12,""))))&amp;" apresentaram a segunda e terceira melhor proposta, respectivamente, no valor total de R$ "&amp;TEXT((SMALL(Comparativo!D35:K35,2)),"0.0,00")&amp;" e R$ "&amp;TEXT((SMALL(Comparativo!D35:K35,3)),"0.0,00")&amp;".")</f>
        <v xml:space="preserve"> A empresa  apresentou a melhor proposta comercial para o referido objeto, no valor total de R$ 00,00, o qual está compatível com o valor estimado pela área requerente. As empresas  e  apresentaram a segunda e terceira melhor proposta, respectivamente, no valor total de R$ 00,00 e R$ 00,00.</v>
      </c>
    </row>
    <row r="93" spans="1:14" ht="13.5" customHeight="1" x14ac:dyDescent="0.25">
      <c r="K93" s="3" t="s">
        <v>55</v>
      </c>
      <c r="M93" s="1" t="str">
        <f>IF(Cotação!B9="",""," Tal contratação é uma inexigibilidade de licitação por tratar-se de fornecedor exclusivo/inviabilidade de competição, conforme comprovado nos autos do processo, sendo assim, a empresa "&amp;IF(SMALL(Comparativo!D35:K35,1)=Comparativo!E35,Comparativo!B9,IF(SMALL(Comparativo!D35:K35,1)=Comparativo!G35,Comparativo!B10,IF(SMALL(Comparativo!D35:K35,1)=Comparativo!I35,Comparativo!B11,IF(SMALL(Comparativo!D35:K35,1)=Comparativo!K35,Comparativo!B12,""))))&amp;"  foi a única a apresentar proposta comercial para o referido objeto, no valor total de R$ "&amp;TEXT(SMALL(Comparativo!D35:K35,1),"0.0,00")&amp;", o qual está compatível com o valor estimado pela área requerente.")</f>
        <v xml:space="preserve"> Tal contratação é uma inexigibilidade de licitação por tratar-se de fornecedor exclusivo/inviabilidade de competição, conforme comprovado nos autos do processo, sendo assim, a empresa   foi a única a apresentar proposta comercial para o referido objeto, no valor total de R$ 00,00, o qual está compatível com o valor estimado pela área requerente.</v>
      </c>
    </row>
    <row r="94" spans="1:14" ht="13.5" customHeight="1" x14ac:dyDescent="0.25">
      <c r="K94" s="3" t="s">
        <v>56</v>
      </c>
    </row>
    <row r="95" spans="1:14" ht="13.5" customHeight="1" x14ac:dyDescent="0.25">
      <c r="K95" s="3" t="s">
        <v>57</v>
      </c>
    </row>
    <row r="96" spans="1:14" ht="13.5" customHeight="1" x14ac:dyDescent="0.25">
      <c r="K96" s="3" t="s">
        <v>58</v>
      </c>
      <c r="M96" s="1">
        <v>1</v>
      </c>
      <c r="N96" s="1" t="b">
        <f>IF(Cotação!B9="","",AND(SMALL(Comparativo!D35:K35,1)=Comparativo!E35,Comparativo!A44='NÃO EXLUIR'!M84))</f>
        <v>1</v>
      </c>
    </row>
    <row r="97" spans="11:14" ht="13.5" customHeight="1" x14ac:dyDescent="0.25">
      <c r="K97" s="3" t="s">
        <v>59</v>
      </c>
      <c r="M97" s="1">
        <v>2</v>
      </c>
      <c r="N97" s="1" t="b">
        <f>IF(Cotação!B9="","",AND(SMALL(Comparativo!D35:K35,1)=Comparativo!G35,Comparativo!A44='NÃO EXLUIR'!M84))</f>
        <v>1</v>
      </c>
    </row>
    <row r="98" spans="11:14" ht="13.5" customHeight="1" x14ac:dyDescent="0.25">
      <c r="K98" s="3" t="s">
        <v>60</v>
      </c>
      <c r="M98" s="1">
        <v>3</v>
      </c>
      <c r="N98" s="1" t="b">
        <f>IF(Cotação!B9="","",AND(SMALL(Comparativo!D35:K35,1)=Comparativo!I35,Comparativo!A44='NÃO EXLUIR'!M84))</f>
        <v>1</v>
      </c>
    </row>
    <row r="99" spans="11:14" ht="13.5" customHeight="1" x14ac:dyDescent="0.25">
      <c r="K99" s="3" t="s">
        <v>61</v>
      </c>
      <c r="M99" s="1">
        <v>4</v>
      </c>
      <c r="N99" s="1" t="b">
        <f>IF(Cotação!B9="","",AND(SMALL(Comparativo!D35:K35,1)=Comparativo!K35,Comparativo!A44='NÃO EXLUIR'!M84))</f>
        <v>1</v>
      </c>
    </row>
    <row r="100" spans="11:14" ht="13.5" customHeight="1" x14ac:dyDescent="0.25">
      <c r="K100" s="3" t="s">
        <v>62</v>
      </c>
    </row>
    <row r="101" spans="11:14" ht="13.5" customHeight="1" x14ac:dyDescent="0.25">
      <c r="K101" s="3" t="s">
        <v>63</v>
      </c>
      <c r="M101" s="1">
        <v>1</v>
      </c>
      <c r="N101" s="1" t="b">
        <f>IF(Cotação!B9="","",AND(SMALL(Comparativo!D35:K35,2)=Comparativo!E35,Comparativo!A44='NÃO EXLUIR'!M85))</f>
        <v>0</v>
      </c>
    </row>
    <row r="102" spans="11:14" ht="13.5" customHeight="1" x14ac:dyDescent="0.25">
      <c r="K102" s="3" t="s">
        <v>64</v>
      </c>
      <c r="M102" s="1">
        <v>2</v>
      </c>
      <c r="N102" s="1" t="b">
        <f>IF(Cotação!B9="","",AND(SMALL(Comparativo!D35:K35,2)=Comparativo!G35,Comparativo!A44='NÃO EXLUIR'!M85))</f>
        <v>0</v>
      </c>
    </row>
    <row r="103" spans="11:14" ht="13.5" customHeight="1" x14ac:dyDescent="0.25">
      <c r="K103" s="3" t="s">
        <v>65</v>
      </c>
      <c r="M103" s="1">
        <v>3</v>
      </c>
      <c r="N103" s="1" t="b">
        <f>IF(Cotação!B9="","",AND(SMALL(Comparativo!D35:K35,2)=Comparativo!I35,Comparativo!A44='NÃO EXLUIR'!M85))</f>
        <v>0</v>
      </c>
    </row>
    <row r="104" spans="11:14" ht="13.5" customHeight="1" x14ac:dyDescent="0.25">
      <c r="K104" s="3" t="s">
        <v>66</v>
      </c>
      <c r="M104" s="1">
        <v>4</v>
      </c>
      <c r="N104" s="1" t="b">
        <f>IF(Cotação!B9="","",AND(SMALL(Comparativo!D35:K35,2)=Comparativo!K35,Comparativo!A44='NÃO EXLUIR'!M85))</f>
        <v>0</v>
      </c>
    </row>
    <row r="105" spans="11:14" ht="13.5" customHeight="1" x14ac:dyDescent="0.25">
      <c r="K105" s="3" t="s">
        <v>67</v>
      </c>
    </row>
    <row r="106" spans="11:14" ht="13.5" customHeight="1" x14ac:dyDescent="0.25">
      <c r="K106" s="3" t="s">
        <v>68</v>
      </c>
      <c r="M106" s="1">
        <v>1</v>
      </c>
      <c r="N106" s="1" t="b">
        <f>IF(Cotação!B9="","",AND(SMALL(Comparativo!D35:K35,3)=Comparativo!E35,Comparativo!A44='NÃO EXLUIR'!M86))</f>
        <v>0</v>
      </c>
    </row>
    <row r="107" spans="11:14" ht="13.5" customHeight="1" x14ac:dyDescent="0.25">
      <c r="K107" s="3" t="s">
        <v>69</v>
      </c>
      <c r="M107" s="1">
        <v>2</v>
      </c>
      <c r="N107" s="1" t="b">
        <f>IF(Cotação!B9="","",AND(SMALL(Comparativo!D35:K35,3)=Comparativo!G35,Comparativo!A44='NÃO EXLUIR'!M86))</f>
        <v>0</v>
      </c>
    </row>
    <row r="108" spans="11:14" ht="13.5" customHeight="1" x14ac:dyDescent="0.25">
      <c r="K108" s="3" t="s">
        <v>70</v>
      </c>
      <c r="M108" s="1">
        <v>3</v>
      </c>
      <c r="N108" s="1" t="b">
        <f>IF(Cotação!B9="","",AND(SMALL(Comparativo!D35:K35,3)=Comparativo!I35,Comparativo!A44='NÃO EXLUIR'!M86))</f>
        <v>0</v>
      </c>
    </row>
    <row r="109" spans="11:14" ht="13.5" customHeight="1" x14ac:dyDescent="0.25">
      <c r="K109" s="3" t="s">
        <v>71</v>
      </c>
      <c r="M109" s="1">
        <v>4</v>
      </c>
      <c r="N109" s="1" t="b">
        <f>IF(Cotação!B9="","",AND(SMALL(Comparativo!D35:K35,3)=Comparativo!K35,Comparativo!A44='NÃO EXLUIR'!M86))</f>
        <v>0</v>
      </c>
    </row>
    <row r="110" spans="11:14" ht="13.5" customHeight="1" x14ac:dyDescent="0.25">
      <c r="K110" s="3" t="s">
        <v>72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2024-09-30T17:36:03Z</cp:lastPrinted>
  <dcterms:created xsi:type="dcterms:W3CDTF">2012-07-27T16:56:19Z</dcterms:created>
  <dcterms:modified xsi:type="dcterms:W3CDTF">2026-06-02T16:50:05Z</dcterms:modified>
</cp:coreProperties>
</file>