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70 - Móveis sob medida\00 - Arquivos Iniciais Cotação\"/>
    </mc:Choice>
  </mc:AlternateContent>
  <xr:revisionPtr revIDLastSave="0" documentId="8_{4736D262-D4D8-4243-9F69-CB786EF3C9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ação" sheetId="2" r:id="rId1"/>
    <sheet name="Comparativo" sheetId="3" r:id="rId2"/>
    <sheet name="Resposta" sheetId="6" r:id="rId3"/>
    <sheet name="NÃO EXLUIR" sheetId="5" r:id="rId4"/>
  </sheets>
  <definedNames>
    <definedName name="_xlnm.Print_Area" localSheetId="1">Comparativo!$A$1:$K$56</definedName>
    <definedName name="_xlnm.Print_Area" localSheetId="0">Cotação!$A$1:$K$45</definedName>
    <definedName name="_xlnm.Print_Area" localSheetId="2">Resposta!$A$1:$K$31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B19" i="3" l="1"/>
  <c r="B20" i="3"/>
  <c r="G20" i="3" l="1"/>
  <c r="I20" i="3"/>
  <c r="E20" i="3"/>
  <c r="K20" i="3"/>
  <c r="K19" i="3"/>
  <c r="G19" i="3"/>
  <c r="I19" i="3"/>
  <c r="E19" i="3"/>
  <c r="C19" i="3"/>
  <c r="C5" i="6"/>
  <c r="C5" i="3"/>
  <c r="A27" i="2" l="1"/>
  <c r="D12" i="6" l="1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C20" i="3" l="1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I30" i="3" l="1"/>
  <c r="E30" i="3"/>
  <c r="G30" i="3"/>
  <c r="K30" i="3"/>
  <c r="I23" i="3"/>
  <c r="E23" i="3"/>
  <c r="K23" i="3"/>
  <c r="G23" i="3"/>
  <c r="I24" i="3"/>
  <c r="E24" i="3"/>
  <c r="G24" i="3"/>
  <c r="K24" i="3"/>
  <c r="I29" i="3"/>
  <c r="E29" i="3"/>
  <c r="G29" i="3"/>
  <c r="K29" i="3"/>
  <c r="I28" i="3"/>
  <c r="E28" i="3"/>
  <c r="G28" i="3"/>
  <c r="K28" i="3"/>
  <c r="G22" i="3"/>
  <c r="K22" i="3"/>
  <c r="I22" i="3"/>
  <c r="E22" i="3"/>
  <c r="G33" i="3"/>
  <c r="K33" i="3"/>
  <c r="I33" i="3"/>
  <c r="E33" i="3"/>
  <c r="G27" i="3"/>
  <c r="K27" i="3"/>
  <c r="I27" i="3"/>
  <c r="E27" i="3"/>
  <c r="G21" i="3"/>
  <c r="K21" i="3"/>
  <c r="I21" i="3"/>
  <c r="E21" i="3"/>
  <c r="G32" i="3"/>
  <c r="K32" i="3"/>
  <c r="I32" i="3"/>
  <c r="E32" i="3"/>
  <c r="G26" i="3"/>
  <c r="K26" i="3"/>
  <c r="I26" i="3"/>
  <c r="E26" i="3"/>
  <c r="K31" i="3"/>
  <c r="I31" i="3"/>
  <c r="G31" i="3"/>
  <c r="E31" i="3"/>
  <c r="K25" i="3"/>
  <c r="I25" i="3"/>
  <c r="G25" i="3"/>
  <c r="E25" i="3"/>
  <c r="G5" i="6"/>
  <c r="G5" i="3"/>
  <c r="K86" i="2" l="1"/>
  <c r="D90" i="5" l="1"/>
  <c r="D89" i="5"/>
  <c r="D88" i="5"/>
  <c r="D87" i="5"/>
  <c r="H25" i="2"/>
  <c r="A25" i="2"/>
  <c r="B91" i="2" l="1"/>
  <c r="J2" i="2"/>
  <c r="B87" i="2"/>
  <c r="C86" i="2"/>
  <c r="B90" i="2"/>
  <c r="B89" i="2"/>
  <c r="B88" i="2"/>
  <c r="D11" i="6"/>
  <c r="C11" i="6"/>
  <c r="B93" i="2" l="1"/>
  <c r="B94" i="2"/>
  <c r="A88" i="2"/>
  <c r="A86" i="2"/>
  <c r="A87" i="2"/>
  <c r="B86" i="2" s="1"/>
  <c r="B11" i="6"/>
  <c r="J2" i="6" l="1"/>
  <c r="A5" i="6" s="1"/>
  <c r="J2" i="3"/>
  <c r="A5" i="3" s="1"/>
  <c r="G34" i="3"/>
  <c r="E34" i="3"/>
  <c r="I34" i="3"/>
  <c r="K34" i="3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  <c r="J13" i="6" l="1"/>
  <c r="J17" i="6"/>
  <c r="J21" i="6"/>
  <c r="J25" i="6"/>
  <c r="J16" i="6"/>
  <c r="J24" i="6"/>
  <c r="J14" i="6"/>
  <c r="J18" i="6"/>
  <c r="J22" i="6"/>
  <c r="J19" i="6"/>
  <c r="J12" i="6"/>
  <c r="J20" i="6"/>
  <c r="J15" i="6"/>
  <c r="J23" i="6"/>
  <c r="J11" i="6"/>
</calcChain>
</file>

<file path=xl/sharedStrings.xml><?xml version="1.0" encoding="utf-8"?>
<sst xmlns="http://schemas.openxmlformats.org/spreadsheetml/2006/main" count="192" uniqueCount="140">
  <si>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</si>
  <si>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</si>
  <si>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</si>
  <si>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</si>
  <si>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</si>
  <si>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</si>
  <si>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</si>
  <si>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</si>
  <si>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</si>
  <si>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</si>
  <si>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</si>
  <si>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</si>
  <si>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</si>
  <si>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</si>
  <si>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</si>
  <si>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</si>
  <si>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</si>
  <si>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</si>
  <si>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</si>
  <si>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</si>
  <si>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</si>
  <si>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</si>
  <si>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Atenciosamente,</t>
  </si>
  <si>
    <t>Nº</t>
  </si>
  <si>
    <t>Qtdade</t>
  </si>
  <si>
    <t>Unidade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</si>
  <si>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</si>
  <si>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</si>
  <si>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</si>
  <si>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</si>
  <si>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</si>
  <si>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</si>
  <si>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</si>
  <si>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</si>
  <si>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Telefone: (48) 3229-1200 FAX: (48) 3229.1265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</si>
  <si>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</si>
  <si>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</si>
  <si>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</si>
  <si>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 1</t>
  </si>
  <si>
    <t> 2</t>
  </si>
  <si>
    <t> 5</t>
  </si>
  <si>
    <t> 6</t>
  </si>
  <si>
    <t>Empresas que apresentaram propostas</t>
  </si>
  <si>
    <t> 3</t>
  </si>
  <si>
    <t> 4</t>
  </si>
  <si>
    <t> 7</t>
  </si>
  <si>
    <t> 8</t>
  </si>
  <si>
    <t>Empresa 1</t>
  </si>
  <si>
    <t>R$ - Unit.</t>
  </si>
  <si>
    <t>R$ Total</t>
  </si>
  <si>
    <t>Empresa 2</t>
  </si>
  <si>
    <t>Empresa 3</t>
  </si>
  <si>
    <t>Empresa 4</t>
  </si>
  <si>
    <t>UF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</si>
  <si>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</si>
  <si>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</si>
  <si>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</si>
  <si>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</si>
  <si>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</si>
  <si>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</si>
  <si>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</si>
  <si>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</si>
  <si>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</si>
  <si>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</si>
  <si>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</si>
  <si>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</si>
  <si>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</si>
  <si>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</si>
  <si>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</si>
  <si>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</si>
  <si>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</si>
  <si>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</si>
  <si>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</si>
  <si>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</si>
  <si>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</si>
  <si>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</si>
  <si>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</si>
  <si>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</si>
  <si>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</si>
  <si>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</si>
  <si>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</si>
  <si>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Conclusão</t>
  </si>
  <si>
    <t>Relatório Final da Coleta de Preços</t>
  </si>
  <si>
    <t>Empresa 5</t>
  </si>
  <si>
    <t>Empresa 6</t>
  </si>
  <si>
    <t>TOTAL</t>
  </si>
  <si>
    <t>NÃO EXCLUA ESTA PLANILHA, ELA SERVE DE BASE DE DADOS PARA AS LISTAS SUSPENSAS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</si>
  <si>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</si>
  <si>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</si>
  <si>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</si>
  <si>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</si>
  <si>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</si>
  <si>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</si>
  <si>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</si>
  <si>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</si>
  <si>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ME/EPP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</si>
  <si>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</si>
  <si>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</si>
  <si>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</si>
  <si>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</si>
  <si>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</si>
  <si>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</si>
  <si>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</si>
  <si>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>Neste mapa comparativo serão apresentadas apenas as propostas de menor preço:</t>
  </si>
  <si>
    <t>Análise das Propostas e outras Fontes de Pequisa de Preços</t>
  </si>
  <si>
    <t>Empresa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</si>
  <si>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</si>
  <si>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</si>
  <si>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</si>
  <si>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r>
      <rPr>
        <b/>
        <sz val="11"/>
        <color indexed="8"/>
        <rFont val="Calibri"/>
        <family val="2"/>
        <scheme val="minor"/>
      </rPr>
      <t xml:space="preserve">AOS PROPONENTES QUALIFICADOS COMO MEI - </t>
    </r>
    <r>
      <rPr>
        <sz val="11"/>
        <color indexed="8"/>
        <rFont val="Calibri"/>
        <family val="2"/>
        <scheme val="minor"/>
      </rPr>
      <t xml:space="preserve">As atividades referidas  no Art. 18-B, § 1º da LC 123/06, ou seja: hidráulica, eletricidade, pintura, alvenaria, carpintaria e de manutenção e reparo de veículos, será efetuada a equalização das propostas  dos proponentes qualificados como MEI – Microempreendedor Individual, </t>
    </r>
    <r>
      <rPr>
        <b/>
        <sz val="11"/>
        <color indexed="8"/>
        <rFont val="Calibri"/>
        <family val="2"/>
        <scheme val="minor"/>
      </rPr>
      <t>com acréscimo de 20% nas propostas</t>
    </r>
    <r>
      <rPr>
        <sz val="11"/>
        <color indexed="8"/>
        <rFont val="Calibri"/>
        <family val="2"/>
        <scheme val="minor"/>
      </rPr>
      <t>, referente a necessidade de recolhimento pela SCGÁS, da cota patronal  da contribuição previdenciária.</t>
    </r>
  </si>
  <si>
    <t>Endereço de Entrega e/ou Execução:</t>
  </si>
  <si>
    <t>Prazo de Vigência Contratual:</t>
  </si>
  <si>
    <t>Segue abaixo as empresas que enviaram proposta para este processo de contratação, bem como o comparativo das propostas apresentadas.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</si>
  <si>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</si>
  <si>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</si>
  <si>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inicio de recebimento das propostas: </t>
  </si>
  <si>
    <t>Rua São Paulo, nº 2415 - Bairro Floresta -CEP: 89.210-000 - Joinville/SC - Fone: (47) 3454-4333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</si>
  <si>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</si>
  <si>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</si>
  <si>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>Data  de inicio de recebimento das propostas:</t>
  </si>
  <si>
    <r>
      <rPr>
        <b/>
        <sz val="10"/>
        <color indexed="8"/>
        <rFont val="Calibri"/>
        <family val="2"/>
        <scheme val="minor"/>
      </rPr>
      <t>Observações:</t>
    </r>
    <r>
      <rPr>
        <sz val="10"/>
        <color indexed="8"/>
        <rFont val="Calibri"/>
        <family val="2"/>
        <scheme val="minor"/>
      </rPr>
      <t xml:space="preserve"> Quando o Licitante for Microempresa (ME) ou Empresa de Pequeno Porte (EPP), serão adotados procedimentos estabelecidos pela Lei Complementar nº 123/06, e conforme detalhamento no documento anexo de Instruções aos Proponentes.</t>
    </r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</si>
  <si>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</si>
  <si>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</si>
  <si>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</si>
  <si>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rPr>
        <b/>
        <sz val="11"/>
        <color indexed="8"/>
        <rFont val="Calibri"/>
        <family val="2"/>
        <scheme val="minor"/>
      </rPr>
      <t>EQUALIZAÇÃO DO ICMS:</t>
    </r>
    <r>
      <rPr>
        <sz val="11"/>
        <color indexed="8"/>
        <rFont val="Calibri"/>
        <family val="2"/>
        <scheme val="minor"/>
      </rPr>
      <t xml:space="preserve"> A SCGÁS é contribuinte de ICMS. Nas operações interestaduais, independente do regime tributário do Proponente, será recolhido pela SCGÁS o diferencial de alíquota do ICMS para o Estado de Santa Catarina. A metodologia do cálculo para obtenção do valor referente ao diferencial de alíquota do imposto, </t>
    </r>
    <r>
      <rPr>
        <b/>
        <sz val="11"/>
        <color indexed="8"/>
        <rFont val="Calibri"/>
        <family val="2"/>
        <scheme val="minor"/>
      </rPr>
      <t xml:space="preserve">será adicionado a proposta do Proponente  </t>
    </r>
    <r>
      <rPr>
        <sz val="11"/>
        <color indexed="8"/>
        <rFont val="Calibri"/>
        <family val="2"/>
        <scheme val="minor"/>
      </rPr>
      <t>fora do estado de S.C. para julgamento das propostas, conforme o caso.</t>
    </r>
  </si>
  <si>
    <t>Prezados Senhores, segue a Proposta de preços vencedora do presente processo,  referente aos seguintes produtos/serviços:</t>
  </si>
  <si>
    <t xml:space="preserve">Justificativa excepcional para a ausência de 3 (três) fontes distintas de referência de preços:  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</si>
  <si>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</si>
  <si>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</si>
  <si>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</si>
  <si>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</si>
  <si>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</si>
  <si>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Valdete Aparecida Andrett</t>
  </si>
  <si>
    <t>Geovanna Castro Aguiar Alves da Silva</t>
  </si>
  <si>
    <t>Thiago Alves</t>
  </si>
  <si>
    <t>070/2026</t>
  </si>
  <si>
    <t>Único ao final</t>
  </si>
  <si>
    <t>Bruno Souza Gomes</t>
  </si>
  <si>
    <t>bruno.gomes@scgas.com.br</t>
  </si>
  <si>
    <t>90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</si>
</sst>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3" tint="0.399945066682943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6" fillId="0" borderId="0" xfId="0" applyFont="1" applyAlignment="1" applyProtection="1">
      <alignment vertical="top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1" fillId="0" borderId="10" xfId="0" applyFont="1" applyBorder="1" applyAlignment="1" applyProtection="1">
      <alignment horizontal="right"/>
      <protection locked="0"/>
    </xf>
    <xf numFmtId="0" fontId="0" fillId="0" borderId="10" xfId="0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32" xfId="0" applyFill="1" applyBorder="1" applyProtection="1">
      <protection locked="0"/>
    </xf>
    <xf numFmtId="0" fontId="0" fillId="3" borderId="33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left"/>
      <protection locked="0"/>
    </xf>
    <xf numFmtId="0" fontId="3" fillId="3" borderId="24" xfId="0" applyFont="1" applyFill="1" applyBorder="1" applyProtection="1"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6" fillId="0" borderId="27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6" fillId="3" borderId="32" xfId="0" applyFont="1" applyFill="1" applyBorder="1" applyAlignment="1" applyProtection="1">
      <alignment horizontal="center" vertical="top" wrapText="1"/>
      <protection locked="0"/>
    </xf>
    <xf numFmtId="0" fontId="5" fillId="3" borderId="33" xfId="0" applyFont="1" applyFill="1" applyBorder="1" applyAlignment="1" applyProtection="1">
      <alignment horizontal="right" vertical="top" wrapText="1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6" borderId="0" xfId="0" applyFill="1" applyProtection="1">
      <protection hidden="1"/>
    </xf>
    <xf numFmtId="0" fontId="7" fillId="4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>
      <alignment vertical="center"/>
    </xf>
    <xf numFmtId="0" fontId="7" fillId="0" borderId="0" xfId="0" applyFont="1"/>
    <xf numFmtId="0" fontId="0" fillId="0" borderId="27" xfId="0" applyBorder="1" applyAlignment="1" applyProtection="1">
      <alignment horizontal="center" vertical="center"/>
      <protection locked="0"/>
    </xf>
    <xf numFmtId="4" fontId="0" fillId="0" borderId="2" xfId="0" applyNumberFormat="1" applyBorder="1" applyProtection="1"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>
      <alignment vertical="center"/>
    </xf>
    <xf numFmtId="4" fontId="3" fillId="0" borderId="2" xfId="0" applyNumberFormat="1" applyFont="1" applyBorder="1" applyProtection="1">
      <protection locked="0"/>
    </xf>
    <xf numFmtId="4" fontId="3" fillId="0" borderId="28" xfId="0" applyNumberFormat="1" applyFont="1" applyBorder="1" applyProtection="1">
      <protection locked="0"/>
    </xf>
    <xf numFmtId="0" fontId="1" fillId="3" borderId="33" xfId="0" applyFont="1" applyFill="1" applyBorder="1" applyProtection="1">
      <protection locked="0"/>
    </xf>
    <xf numFmtId="0" fontId="1" fillId="3" borderId="33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39" xfId="0" applyFont="1" applyFill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2" fontId="0" fillId="0" borderId="2" xfId="0" applyNumberFormat="1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top" wrapText="1"/>
      <protection locked="0"/>
    </xf>
    <xf numFmtId="0" fontId="0" fillId="0" borderId="29" xfId="0" applyBorder="1" applyAlignment="1" applyProtection="1">
      <alignment horizontal="center" vertical="top" wrapText="1"/>
      <protection locked="0"/>
    </xf>
    <xf numFmtId="3" fontId="5" fillId="0" borderId="2" xfId="0" applyNumberFormat="1" applyFont="1" applyBorder="1" applyAlignment="1" applyProtection="1">
      <alignment horizontal="right" vertical="top" wrapText="1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8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8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8" xfId="0" applyNumberFormat="1" applyBorder="1" applyAlignment="1" applyProtection="1">
      <alignment vertical="top" wrapText="1"/>
      <protection locked="0"/>
    </xf>
    <xf numFmtId="4" fontId="18" fillId="0" borderId="2" xfId="0" applyNumberFormat="1" applyFont="1" applyBorder="1" applyAlignment="1" applyProtection="1">
      <alignment vertical="top" wrapText="1"/>
      <protection locked="0"/>
    </xf>
    <xf numFmtId="4" fontId="18" fillId="0" borderId="28" xfId="0" applyNumberFormat="1" applyFont="1" applyBorder="1" applyAlignment="1" applyProtection="1">
      <alignment vertical="top" wrapText="1"/>
      <protection locked="0"/>
    </xf>
    <xf numFmtId="0" fontId="10" fillId="0" borderId="0" xfId="0" applyFont="1" applyProtection="1">
      <protection locked="0"/>
    </xf>
    <xf numFmtId="0" fontId="9" fillId="0" borderId="12" xfId="0" applyFont="1" applyBorder="1" applyProtection="1"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10" fillId="3" borderId="33" xfId="0" applyFont="1" applyFill="1" applyBorder="1" applyAlignment="1" applyProtection="1">
      <alignment horizontal="center"/>
      <protection locked="0"/>
    </xf>
    <xf numFmtId="0" fontId="24" fillId="0" borderId="0" xfId="0" applyFont="1" applyAlignment="1" applyProtection="1">
      <alignment horizontal="right"/>
      <protection locked="0"/>
    </xf>
    <xf numFmtId="1" fontId="25" fillId="0" borderId="0" xfId="0" applyNumberFormat="1" applyFont="1" applyAlignment="1" applyProtection="1">
      <alignment horizontal="center"/>
      <protection locked="0"/>
    </xf>
    <xf numFmtId="0" fontId="19" fillId="4" borderId="0" xfId="0" applyFont="1" applyFill="1" applyProtection="1">
      <protection locked="0"/>
    </xf>
    <xf numFmtId="0" fontId="19" fillId="4" borderId="0" xfId="0" applyFont="1" applyFill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6" fillId="0" borderId="49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26" fillId="0" borderId="14" xfId="0" applyFont="1" applyBorder="1"/>
    <xf numFmtId="0" fontId="22" fillId="0" borderId="0" xfId="0" applyFont="1" applyProtection="1">
      <protection locked="0"/>
    </xf>
    <xf numFmtId="0" fontId="10" fillId="0" borderId="16" xfId="0" applyFont="1" applyBorder="1" applyProtection="1">
      <protection locked="0"/>
    </xf>
    <xf numFmtId="0" fontId="10" fillId="0" borderId="17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165" fontId="1" fillId="0" borderId="20" xfId="0" applyNumberFormat="1" applyFont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165" fontId="1" fillId="0" borderId="48" xfId="0" applyNumberFormat="1" applyFont="1" applyBorder="1" applyProtection="1">
      <protection locked="0"/>
    </xf>
    <xf numFmtId="0" fontId="23" fillId="3" borderId="42" xfId="0" applyFont="1" applyFill="1" applyBorder="1" applyAlignment="1" applyProtection="1">
      <alignment horizontal="center"/>
      <protection locked="0"/>
    </xf>
    <xf numFmtId="0" fontId="0" fillId="3" borderId="32" xfId="0" applyFill="1" applyBorder="1"/>
    <xf numFmtId="0" fontId="0" fillId="3" borderId="33" xfId="0" applyFill="1" applyBorder="1"/>
    <xf numFmtId="0" fontId="1" fillId="3" borderId="33" xfId="0" applyFont="1" applyFill="1" applyBorder="1"/>
    <xf numFmtId="0" fontId="1" fillId="3" borderId="33" xfId="0" applyFont="1" applyFill="1" applyBorder="1" applyAlignment="1">
      <alignment horizontal="center"/>
    </xf>
    <xf numFmtId="0" fontId="0" fillId="3" borderId="24" xfId="0" applyFill="1" applyBorder="1"/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5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3" fillId="0" borderId="2" xfId="0" applyFont="1" applyBorder="1" applyAlignment="1">
      <alignment horizontal="center" vertical="center"/>
    </xf>
    <xf numFmtId="0" fontId="28" fillId="0" borderId="0" xfId="1" applyProtection="1">
      <protection locked="0"/>
    </xf>
    <xf numFmtId="0" fontId="9" fillId="0" borderId="16" xfId="0" applyFont="1" applyBorder="1" applyProtection="1">
      <protection locked="0"/>
    </xf>
    <xf numFmtId="0" fontId="0" fillId="0" borderId="37" xfId="0" applyBorder="1" applyProtection="1">
      <protection locked="0"/>
    </xf>
    <xf numFmtId="0" fontId="10" fillId="0" borderId="37" xfId="0" applyFont="1" applyBorder="1" applyProtection="1">
      <protection locked="0"/>
    </xf>
    <xf numFmtId="0" fontId="0" fillId="0" borderId="38" xfId="0" applyBorder="1" applyProtection="1">
      <protection locked="0"/>
    </xf>
    <xf numFmtId="0" fontId="10" fillId="0" borderId="14" xfId="0" applyFont="1" applyBorder="1" applyProtection="1">
      <protection locked="0"/>
    </xf>
    <xf numFmtId="0" fontId="27" fillId="4" borderId="36" xfId="0" applyFont="1" applyFill="1" applyBorder="1" applyAlignment="1">
      <alignment horizontal="left" vertical="center" wrapText="1"/>
    </xf>
    <xf numFmtId="0" fontId="27" fillId="4" borderId="37" xfId="0" applyFont="1" applyFill="1" applyBorder="1" applyAlignment="1">
      <alignment horizontal="left" vertical="center" wrapText="1"/>
    </xf>
    <xf numFmtId="0" fontId="27" fillId="4" borderId="38" xfId="0" applyFont="1" applyFill="1" applyBorder="1" applyAlignment="1">
      <alignment horizontal="left" vertical="center" wrapText="1"/>
    </xf>
    <xf numFmtId="0" fontId="1" fillId="0" borderId="36" xfId="0" applyFont="1" applyBorder="1" applyAlignment="1">
      <alignment horizontal="left" wrapText="1"/>
    </xf>
    <xf numFmtId="0" fontId="1" fillId="0" borderId="37" xfId="0" applyFont="1" applyBorder="1" applyAlignment="1">
      <alignment horizontal="left" wrapText="1"/>
    </xf>
    <xf numFmtId="0" fontId="1" fillId="0" borderId="38" xfId="0" applyFont="1" applyBorder="1" applyAlignment="1">
      <alignment horizontal="left" wrapText="1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4" borderId="14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4" fillId="2" borderId="20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 wrapText="1"/>
      <protection locked="0"/>
    </xf>
    <xf numFmtId="0" fontId="14" fillId="2" borderId="43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0" fillId="2" borderId="21" xfId="0" applyFont="1" applyFill="1" applyBorder="1" applyAlignment="1" applyProtection="1">
      <alignment horizontal="center" vertical="center" wrapText="1"/>
      <protection locked="0"/>
    </xf>
    <xf numFmtId="0" fontId="20" fillId="2" borderId="12" xfId="0" applyFont="1" applyFill="1" applyBorder="1" applyAlignment="1" applyProtection="1">
      <alignment horizontal="center" vertical="center" wrapText="1"/>
      <protection locked="0"/>
    </xf>
    <xf numFmtId="0" fontId="20" fillId="2" borderId="22" xfId="0" applyFont="1" applyFill="1" applyBorder="1" applyAlignment="1" applyProtection="1">
      <alignment horizontal="center" vertical="center" wrapText="1"/>
      <protection locked="0"/>
    </xf>
    <xf numFmtId="0" fontId="20" fillId="2" borderId="6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center"/>
      <protection locked="0"/>
    </xf>
    <xf numFmtId="0" fontId="10" fillId="4" borderId="11" xfId="0" applyFont="1" applyFill="1" applyBorder="1" applyAlignment="1" applyProtection="1">
      <alignment horizontal="center"/>
      <protection locked="0"/>
    </xf>
    <xf numFmtId="0" fontId="10" fillId="4" borderId="13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14" fontId="10" fillId="0" borderId="17" xfId="0" applyNumberFormat="1" applyFont="1" applyBorder="1" applyAlignment="1" applyProtection="1">
      <alignment horizontal="center"/>
      <protection locked="0"/>
    </xf>
    <xf numFmtId="14" fontId="10" fillId="0" borderId="18" xfId="0" applyNumberFormat="1" applyFont="1" applyBorder="1" applyAlignment="1" applyProtection="1">
      <alignment horizontal="center"/>
      <protection locked="0"/>
    </xf>
    <xf numFmtId="0" fontId="9" fillId="4" borderId="11" xfId="0" applyFont="1" applyFill="1" applyBorder="1" applyAlignment="1" applyProtection="1">
      <alignment horizontal="center"/>
      <protection locked="0"/>
    </xf>
    <xf numFmtId="0" fontId="9" fillId="4" borderId="12" xfId="0" applyFont="1" applyFill="1" applyBorder="1" applyAlignment="1" applyProtection="1">
      <alignment horizontal="center"/>
      <protection locked="0"/>
    </xf>
    <xf numFmtId="0" fontId="9" fillId="4" borderId="13" xfId="0" applyFont="1" applyFill="1" applyBorder="1" applyAlignment="1" applyProtection="1">
      <alignment horizontal="center"/>
      <protection locked="0"/>
    </xf>
    <xf numFmtId="14" fontId="9" fillId="0" borderId="16" xfId="0" applyNumberFormat="1" applyFont="1" applyBorder="1" applyAlignment="1" applyProtection="1">
      <alignment horizontal="center"/>
      <protection locked="0"/>
    </xf>
    <xf numFmtId="14" fontId="9" fillId="0" borderId="17" xfId="0" applyNumberFormat="1" applyFont="1" applyBorder="1" applyAlignment="1" applyProtection="1">
      <alignment horizontal="center"/>
      <protection locked="0"/>
    </xf>
    <xf numFmtId="14" fontId="9" fillId="0" borderId="18" xfId="0" applyNumberFormat="1" applyFont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164" fontId="0" fillId="4" borderId="17" xfId="0" applyNumberForma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164" fontId="0" fillId="4" borderId="16" xfId="0" applyNumberFormat="1" applyFill="1" applyBorder="1" applyAlignment="1" applyProtection="1">
      <alignment horizontal="center"/>
      <protection locked="0"/>
    </xf>
    <xf numFmtId="164" fontId="0" fillId="4" borderId="18" xfId="0" applyNumberForma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0" fillId="0" borderId="16" xfId="0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5" fillId="6" borderId="36" xfId="0" applyFont="1" applyFill="1" applyBorder="1" applyAlignment="1" applyProtection="1">
      <alignment horizontal="justify" vertical="top" wrapText="1"/>
      <protection locked="0"/>
    </xf>
    <xf numFmtId="0" fontId="6" fillId="6" borderId="37" xfId="0" applyFont="1" applyFill="1" applyBorder="1" applyAlignment="1" applyProtection="1">
      <alignment horizontal="justify" vertical="top" wrapText="1"/>
      <protection locked="0"/>
    </xf>
    <xf numFmtId="0" fontId="6" fillId="6" borderId="38" xfId="0" applyFont="1" applyFill="1" applyBorder="1" applyAlignment="1" applyProtection="1">
      <alignment horizontal="justify" vertical="top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justify" vertical="justify" wrapText="1"/>
      <protection locked="0"/>
    </xf>
    <xf numFmtId="0" fontId="6" fillId="0" borderId="33" xfId="0" applyFont="1" applyBorder="1" applyAlignment="1" applyProtection="1">
      <alignment horizontal="justify" vertical="justify" wrapText="1"/>
      <protection locked="0"/>
    </xf>
    <xf numFmtId="0" fontId="6" fillId="0" borderId="24" xfId="0" applyFont="1" applyBorder="1" applyAlignment="1" applyProtection="1">
      <alignment horizontal="justify" vertical="justify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0" fontId="5" fillId="5" borderId="27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3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left" vertical="center" wrapText="1"/>
      <protection locked="0"/>
    </xf>
    <xf numFmtId="0" fontId="13" fillId="4" borderId="12" xfId="0" applyFont="1" applyFill="1" applyBorder="1" applyAlignment="1" applyProtection="1">
      <alignment horizontal="left" vertical="center" wrapText="1"/>
      <protection locked="0"/>
    </xf>
    <xf numFmtId="0" fontId="13" fillId="4" borderId="13" xfId="0" applyFont="1" applyFill="1" applyBorder="1" applyAlignment="1" applyProtection="1">
      <alignment horizontal="left" vertical="center" wrapText="1"/>
      <protection locked="0"/>
    </xf>
    <xf numFmtId="0" fontId="13" fillId="4" borderId="16" xfId="0" applyFont="1" applyFill="1" applyBorder="1" applyAlignment="1" applyProtection="1">
      <alignment horizontal="left" vertical="center" wrapText="1"/>
      <protection locked="0"/>
    </xf>
    <xf numFmtId="0" fontId="13" fillId="4" borderId="17" xfId="0" applyFont="1" applyFill="1" applyBorder="1" applyAlignment="1" applyProtection="1">
      <alignment horizontal="left" vertical="center" wrapText="1"/>
      <protection locked="0"/>
    </xf>
    <xf numFmtId="0" fontId="13" fillId="4" borderId="18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6" fillId="0" borderId="49" xfId="0" applyFont="1" applyBorder="1" applyAlignment="1" applyProtection="1">
      <alignment horizontal="justify" vertical="justify" wrapText="1"/>
      <protection locked="0"/>
    </xf>
    <xf numFmtId="0" fontId="6" fillId="0" borderId="50" xfId="0" applyFont="1" applyBorder="1" applyAlignment="1" applyProtection="1">
      <alignment horizontal="justify" vertical="justify" wrapText="1"/>
      <protection locked="0"/>
    </xf>
    <xf numFmtId="0" fontId="6" fillId="0" borderId="51" xfId="0" applyFont="1" applyBorder="1" applyAlignment="1" applyProtection="1">
      <alignment horizontal="justify" vertical="justify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4" fontId="0" fillId="0" borderId="41" xfId="0" applyNumberFormat="1" applyBorder="1" applyAlignment="1" applyProtection="1">
      <alignment horizontal="center" vertic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215623</xdr:colOff>
      <xdr:row>0</xdr:row>
      <xdr:rowOff>0</xdr:rowOff>
    </xdr:from>
    <xdr:to>
      <xdr:col>10</xdr:col>
      <xdr:colOff>436423</xdr:colOff>
      <xdr:row>1</xdr:row>
      <xdr:rowOff>19051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092423" y="0"/>
          <a:ext cx="1440000" cy="209551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+mn-lt"/>
              <a:cs typeface="Arial" pitchFamily="34" charset="0"/>
            </a:rPr>
            <a:t>Quadro Comparativo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2</xdr:col>
          <xdr:colOff>504825</xdr:colOff>
          <xdr:row>1</xdr:row>
          <xdr:rowOff>161925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347885</xdr:colOff>
      <xdr:row>0</xdr:row>
      <xdr:rowOff>41413</xdr:rowOff>
    </xdr:from>
    <xdr:to>
      <xdr:col>12</xdr:col>
      <xdr:colOff>588077</xdr:colOff>
      <xdr:row>2</xdr:row>
      <xdr:rowOff>33129</xdr:rowOff>
    </xdr:to>
    <xdr:sp macro="[0]!PDFcompara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03450" y="41413"/>
          <a:ext cx="853105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0</xdr:row>
      <xdr:rowOff>0</xdr:rowOff>
    </xdr:from>
    <xdr:to>
      <xdr:col>11</xdr:col>
      <xdr:colOff>1</xdr:colOff>
      <xdr:row>1</xdr:row>
      <xdr:rowOff>47625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562350" y="0"/>
          <a:ext cx="3143251" cy="23812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>
              <a:latin typeface="Arial" pitchFamily="34" charset="0"/>
              <a:cs typeface="Arial" pitchFamily="34" charset="0"/>
            </a:rPr>
            <a:t>Relatório</a:t>
          </a:r>
          <a:r>
            <a:rPr lang="pt-BR" sz="1100" b="1" baseline="0">
              <a:latin typeface="Arial" pitchFamily="34" charset="0"/>
              <a:cs typeface="Arial" pitchFamily="34" charset="0"/>
            </a:rPr>
            <a:t> Final de Coleta de Preços</a:t>
          </a:r>
          <a:endParaRPr lang="pt-BR" sz="11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3</xdr:col>
          <xdr:colOff>38100</xdr:colOff>
          <xdr:row>1</xdr:row>
          <xdr:rowOff>161925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339600</xdr:colOff>
      <xdr:row>0</xdr:row>
      <xdr:rowOff>24848</xdr:rowOff>
    </xdr:from>
    <xdr:to>
      <xdr:col>12</xdr:col>
      <xdr:colOff>579791</xdr:colOff>
      <xdr:row>2</xdr:row>
      <xdr:rowOff>16564</xdr:rowOff>
    </xdr:to>
    <xdr:sp macro="[0]!PDFfial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247296" y="24848"/>
          <a:ext cx="853104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  <xdr:twoCellAnchor>
    <xdr:from>
      <xdr:col>11</xdr:col>
      <xdr:colOff>347883</xdr:colOff>
      <xdr:row>2</xdr:row>
      <xdr:rowOff>124239</xdr:rowOff>
    </xdr:from>
    <xdr:to>
      <xdr:col>12</xdr:col>
      <xdr:colOff>588076</xdr:colOff>
      <xdr:row>4</xdr:row>
      <xdr:rowOff>107673</xdr:rowOff>
    </xdr:to>
    <xdr:sp macro="[0]!EnviaEmailresp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255579" y="513522"/>
          <a:ext cx="853106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E-mail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uno.gomes@scgas.com.b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runo.gomes@scgas.com.b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runo.gomes@scgas.com.b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K24" sqref="K24"/>
    </sheetView>
  </sheetViews>
  <sheetFormatPr defaultColWidth="9.140625" defaultRowHeight="15" x14ac:dyDescent="0.25"/>
  <cols>
    <col min="1" max="1" width="8.42578125" style="5" customWidth="1"/>
    <col min="2" max="2" width="13" style="5" customWidth="1"/>
    <col min="3" max="3" width="10.5703125" style="5" customWidth="1"/>
    <col min="4" max="5" width="9.28515625" style="5" customWidth="1"/>
    <col min="6" max="6" width="12.140625" style="5" customWidth="1"/>
    <col min="7" max="7" width="5" style="5" customWidth="1"/>
    <col min="8" max="8" width="10.140625" style="5" customWidth="1"/>
    <col min="9" max="9" width="17.7109375" style="5" customWidth="1"/>
    <col min="10" max="10" width="13.140625" style="5" customWidth="1"/>
    <col min="11" max="11" width="15.85546875" style="5" customWidth="1"/>
    <col min="12" max="16384" width="9.140625" style="5"/>
  </cols>
  <sheetData>
    <row r="1" spans="1:11" ht="22.5" customHeight="1" x14ac:dyDescent="0.25">
      <c r="H1" s="6"/>
    </row>
    <row r="2" spans="1:11" ht="22.5" customHeight="1" thickBot="1" x14ac:dyDescent="0.35">
      <c r="I2" s="84" t="s">
        <v>23</v>
      </c>
      <c r="J2" s="85" t="str">
        <f>A4</f>
        <v>070/2026</v>
      </c>
    </row>
    <row r="3" spans="1:11" s="10" customFormat="1" ht="19.5" customHeight="1" x14ac:dyDescent="0.25">
      <c r="A3" s="181" t="s">
        <v>0</v>
      </c>
      <c r="B3" s="182"/>
      <c r="C3" s="186" t="s">
        <v>121</v>
      </c>
      <c r="D3" s="187"/>
      <c r="E3" s="187"/>
      <c r="F3" s="187"/>
      <c r="G3" s="188"/>
      <c r="H3" s="183" t="s">
        <v>122</v>
      </c>
      <c r="I3" s="183"/>
      <c r="J3" s="183"/>
      <c r="K3" s="182"/>
    </row>
    <row r="4" spans="1:11" ht="15.75" customHeight="1" thickBot="1" x14ac:dyDescent="0.3">
      <c r="A4" s="179" t="s">
        <v>135</v>
      </c>
      <c r="B4" s="180"/>
      <c r="C4" s="189">
        <v>46185</v>
      </c>
      <c r="D4" s="190"/>
      <c r="E4" s="190"/>
      <c r="F4" s="190"/>
      <c r="G4" s="191"/>
      <c r="H4" s="184">
        <v>46190</v>
      </c>
      <c r="I4" s="184"/>
      <c r="J4" s="184"/>
      <c r="K4" s="185"/>
    </row>
    <row r="5" spans="1:11" ht="22.5" customHeight="1" thickBot="1" x14ac:dyDescent="0.3">
      <c r="A5" s="127" t="s">
        <v>108</v>
      </c>
      <c r="B5" s="20"/>
      <c r="C5" s="128"/>
      <c r="D5" s="128"/>
      <c r="E5" s="128"/>
      <c r="F5" s="128"/>
      <c r="G5" s="128"/>
      <c r="H5" s="128"/>
      <c r="J5" s="129" t="s">
        <v>90</v>
      </c>
      <c r="K5" s="130"/>
    </row>
    <row r="6" spans="1:11" ht="15" customHeight="1" x14ac:dyDescent="0.25">
      <c r="A6" s="160" t="s">
        <v>1</v>
      </c>
      <c r="B6" s="162" t="s">
        <v>24</v>
      </c>
      <c r="C6" s="158" t="s">
        <v>94</v>
      </c>
      <c r="D6" s="173" t="s">
        <v>114</v>
      </c>
      <c r="E6" s="174"/>
      <c r="F6" s="174"/>
      <c r="G6" s="174"/>
      <c r="H6" s="175"/>
      <c r="I6" s="158" t="s">
        <v>130</v>
      </c>
      <c r="J6" s="138" t="s">
        <v>2</v>
      </c>
      <c r="K6" s="139"/>
    </row>
    <row r="7" spans="1:11" ht="32.25" customHeight="1" x14ac:dyDescent="0.25">
      <c r="A7" s="161"/>
      <c r="B7" s="163"/>
      <c r="C7" s="159"/>
      <c r="D7" s="176"/>
      <c r="E7" s="177"/>
      <c r="F7" s="177"/>
      <c r="G7" s="177"/>
      <c r="H7" s="178"/>
      <c r="I7" s="159"/>
      <c r="J7" s="58" t="s">
        <v>131</v>
      </c>
      <c r="K7" s="57" t="s">
        <v>3</v>
      </c>
    </row>
    <row r="8" spans="1:11" ht="15.75" thickBot="1" x14ac:dyDescent="0.3">
      <c r="A8" s="39">
        <v>1</v>
      </c>
      <c r="B8" s="125"/>
      <c r="C8" s="120"/>
      <c r="D8" s="167"/>
      <c r="E8" s="168"/>
      <c r="F8" s="168"/>
      <c r="G8" s="168"/>
      <c r="H8" s="169"/>
      <c r="I8" s="61"/>
      <c r="J8" s="67"/>
      <c r="K8" s="68"/>
    </row>
    <row r="9" spans="1:11" hidden="1" x14ac:dyDescent="0.25">
      <c r="A9" s="39">
        <v>2</v>
      </c>
      <c r="B9" s="125"/>
      <c r="C9" s="120"/>
      <c r="D9" s="167"/>
      <c r="E9" s="168"/>
      <c r="F9" s="168"/>
      <c r="G9" s="168"/>
      <c r="H9" s="169"/>
      <c r="I9" s="61"/>
      <c r="J9" s="69"/>
      <c r="K9" s="70"/>
    </row>
    <row r="10" spans="1:11" hidden="1" x14ac:dyDescent="0.25">
      <c r="A10" s="39">
        <v>3</v>
      </c>
      <c r="B10" s="125"/>
      <c r="C10" s="120"/>
      <c r="D10" s="170"/>
      <c r="E10" s="171"/>
      <c r="F10" s="171"/>
      <c r="G10" s="171"/>
      <c r="H10" s="172"/>
      <c r="I10" s="61"/>
      <c r="J10" s="71"/>
      <c r="K10" s="72"/>
    </row>
    <row r="11" spans="1:11" hidden="1" x14ac:dyDescent="0.25">
      <c r="A11" s="39">
        <v>4</v>
      </c>
      <c r="B11" s="125"/>
      <c r="C11" s="120"/>
      <c r="D11" s="170"/>
      <c r="E11" s="171"/>
      <c r="F11" s="171"/>
      <c r="G11" s="171"/>
      <c r="H11" s="172"/>
      <c r="I11" s="61"/>
      <c r="J11" s="71"/>
      <c r="K11" s="72"/>
    </row>
    <row r="12" spans="1:11" ht="15" hidden="1" customHeight="1" x14ac:dyDescent="0.25">
      <c r="A12" s="39">
        <v>5</v>
      </c>
      <c r="B12" s="54"/>
      <c r="C12" s="54"/>
      <c r="D12" s="146"/>
      <c r="E12" s="147"/>
      <c r="F12" s="147"/>
      <c r="G12" s="147"/>
      <c r="H12" s="148"/>
      <c r="I12" s="54"/>
      <c r="J12" s="71"/>
      <c r="K12" s="72"/>
    </row>
    <row r="13" spans="1:11" ht="15" hidden="1" customHeight="1" x14ac:dyDescent="0.25">
      <c r="A13" s="39">
        <v>6</v>
      </c>
      <c r="B13" s="54"/>
      <c r="C13" s="121"/>
      <c r="D13" s="149"/>
      <c r="E13" s="150"/>
      <c r="F13" s="150"/>
      <c r="G13" s="150"/>
      <c r="H13" s="151"/>
      <c r="I13" s="60"/>
      <c r="J13" s="71"/>
      <c r="K13" s="72"/>
    </row>
    <row r="14" spans="1:11" ht="15" hidden="1" customHeight="1" x14ac:dyDescent="0.25">
      <c r="A14" s="39">
        <v>7</v>
      </c>
      <c r="B14" s="54"/>
      <c r="C14" s="121"/>
      <c r="D14" s="149"/>
      <c r="E14" s="152"/>
      <c r="F14" s="152"/>
      <c r="G14" s="152"/>
      <c r="H14" s="153"/>
      <c r="I14" s="60"/>
      <c r="J14" s="71"/>
      <c r="K14" s="72"/>
    </row>
    <row r="15" spans="1:11" ht="15" hidden="1" customHeight="1" x14ac:dyDescent="0.25">
      <c r="A15" s="39">
        <v>8</v>
      </c>
      <c r="B15" s="54"/>
      <c r="C15" s="121"/>
      <c r="D15" s="149"/>
      <c r="E15" s="150"/>
      <c r="F15" s="150"/>
      <c r="G15" s="150"/>
      <c r="H15" s="151"/>
      <c r="I15" s="60"/>
      <c r="J15" s="71"/>
      <c r="K15" s="72"/>
    </row>
    <row r="16" spans="1:11" s="53" customFormat="1" ht="15" hidden="1" customHeight="1" x14ac:dyDescent="0.25">
      <c r="A16" s="39">
        <v>9</v>
      </c>
      <c r="B16" s="54"/>
      <c r="C16" s="121"/>
      <c r="D16" s="149"/>
      <c r="E16" s="150"/>
      <c r="F16" s="150"/>
      <c r="G16" s="150"/>
      <c r="H16" s="151"/>
      <c r="I16" s="60"/>
      <c r="J16" s="73"/>
      <c r="K16" s="74"/>
    </row>
    <row r="17" spans="1:18" ht="15" hidden="1" customHeight="1" x14ac:dyDescent="0.25">
      <c r="A17" s="39">
        <v>10</v>
      </c>
      <c r="B17" s="54"/>
      <c r="C17" s="121"/>
      <c r="D17" s="143"/>
      <c r="E17" s="144"/>
      <c r="F17" s="144"/>
      <c r="G17" s="144"/>
      <c r="H17" s="145"/>
      <c r="I17" s="60"/>
      <c r="J17" s="71"/>
      <c r="K17" s="72"/>
    </row>
    <row r="18" spans="1:18" ht="15" hidden="1" customHeight="1" x14ac:dyDescent="0.25">
      <c r="A18" s="62">
        <v>11</v>
      </c>
      <c r="B18" s="54"/>
      <c r="C18" s="54"/>
      <c r="D18" s="143"/>
      <c r="E18" s="144"/>
      <c r="F18" s="144"/>
      <c r="G18" s="144"/>
      <c r="H18" s="145"/>
      <c r="I18" s="54"/>
      <c r="J18" s="71"/>
      <c r="K18" s="72"/>
    </row>
    <row r="19" spans="1:18" ht="15" hidden="1" customHeight="1" x14ac:dyDescent="0.25">
      <c r="A19" s="62">
        <v>12</v>
      </c>
      <c r="B19" s="54"/>
      <c r="C19" s="54"/>
      <c r="D19" s="143"/>
      <c r="E19" s="144"/>
      <c r="F19" s="144"/>
      <c r="G19" s="144"/>
      <c r="H19" s="145"/>
      <c r="I19" s="54"/>
      <c r="J19" s="71"/>
      <c r="K19" s="72"/>
    </row>
    <row r="20" spans="1:18" ht="15" hidden="1" customHeight="1" x14ac:dyDescent="0.25">
      <c r="A20" s="63">
        <v>13</v>
      </c>
      <c r="B20" s="59"/>
      <c r="C20" s="59"/>
      <c r="D20" s="143"/>
      <c r="E20" s="144"/>
      <c r="F20" s="144"/>
      <c r="G20" s="144"/>
      <c r="H20" s="145"/>
      <c r="I20" s="54"/>
      <c r="J20" s="71"/>
      <c r="K20" s="72"/>
    </row>
    <row r="21" spans="1:18" ht="15" hidden="1" customHeight="1" x14ac:dyDescent="0.25">
      <c r="A21" s="63">
        <v>14</v>
      </c>
      <c r="B21" s="59"/>
      <c r="C21" s="59"/>
      <c r="D21" s="143"/>
      <c r="E21" s="144"/>
      <c r="F21" s="144"/>
      <c r="G21" s="144"/>
      <c r="H21" s="145"/>
      <c r="I21" s="54"/>
      <c r="J21" s="71"/>
      <c r="K21" s="72"/>
    </row>
    <row r="22" spans="1:18" ht="15" hidden="1" customHeight="1" thickBot="1" x14ac:dyDescent="0.3">
      <c r="A22" s="64">
        <v>15</v>
      </c>
      <c r="B22" s="59"/>
      <c r="C22" s="59"/>
      <c r="D22" s="143"/>
      <c r="E22" s="144"/>
      <c r="F22" s="144"/>
      <c r="G22" s="144"/>
      <c r="H22" s="145"/>
      <c r="I22" s="54"/>
      <c r="J22" s="71"/>
      <c r="K22" s="72"/>
    </row>
    <row r="23" spans="1:18" ht="15" customHeight="1" x14ac:dyDescent="0.25">
      <c r="A23" s="14"/>
      <c r="B23" s="22"/>
      <c r="C23" s="15"/>
      <c r="D23" s="15"/>
      <c r="E23" s="48"/>
      <c r="F23" s="83" t="s">
        <v>4</v>
      </c>
      <c r="G23" s="48"/>
      <c r="H23" s="15"/>
      <c r="I23" s="15"/>
      <c r="J23" s="23"/>
      <c r="K23" s="24"/>
    </row>
    <row r="24" spans="1:18" ht="15" customHeight="1" x14ac:dyDescent="0.25">
      <c r="A24" s="80" t="s">
        <v>100</v>
      </c>
      <c r="B24" s="81"/>
      <c r="C24" s="5" t="s">
        <v>28</v>
      </c>
      <c r="D24" s="81"/>
      <c r="E24" s="81"/>
      <c r="F24" s="81"/>
      <c r="G24" s="81"/>
      <c r="H24" s="122" t="s">
        <v>37</v>
      </c>
      <c r="I24" s="122"/>
      <c r="J24" s="81"/>
      <c r="K24" s="123"/>
    </row>
    <row r="25" spans="1:18" ht="15" customHeight="1" x14ac:dyDescent="0.25">
      <c r="A25" s="80" t="str">
        <f>IF(J5="Materiais:","Forma de entrega:","Forma de execução:")</f>
        <v>Forma de execução:</v>
      </c>
      <c r="B25" s="81"/>
      <c r="C25" s="5" t="s">
        <v>30</v>
      </c>
      <c r="D25" s="124"/>
      <c r="E25" s="81"/>
      <c r="F25" s="81"/>
      <c r="G25" s="86"/>
      <c r="H25" s="154" t="str">
        <f>IF(J5="Materiais:","Frete: CIF","Forma de pagamento:")</f>
        <v>Forma de pagamento:</v>
      </c>
      <c r="I25" s="154"/>
      <c r="J25" s="5" t="s">
        <v>136</v>
      </c>
      <c r="K25" s="81"/>
    </row>
    <row r="26" spans="1:18" ht="15" customHeight="1" x14ac:dyDescent="0.25">
      <c r="A26" s="156" t="s">
        <v>111</v>
      </c>
      <c r="B26" s="157"/>
      <c r="C26" s="157"/>
      <c r="D26" s="155" t="s">
        <v>139</v>
      </c>
      <c r="E26" s="155"/>
      <c r="F26" s="155"/>
      <c r="G26" s="86"/>
      <c r="H26" s="87"/>
      <c r="I26" s="87"/>
      <c r="J26" s="81"/>
      <c r="K26" s="81"/>
    </row>
    <row r="27" spans="1:18" ht="15" customHeight="1" x14ac:dyDescent="0.25">
      <c r="A27" s="80" t="str">
        <f>IF(J5="Materiais:","Horário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81"/>
      <c r="C27" s="81"/>
      <c r="D27" s="81"/>
      <c r="E27" s="81"/>
      <c r="F27" s="81"/>
      <c r="G27" s="81"/>
      <c r="H27" s="81"/>
      <c r="I27" s="81"/>
      <c r="J27" s="81"/>
      <c r="K27" s="123"/>
    </row>
    <row r="28" spans="1:18" ht="15" customHeight="1" x14ac:dyDescent="0.25">
      <c r="A28" s="80" t="s">
        <v>110</v>
      </c>
      <c r="B28" s="81"/>
      <c r="C28" s="81"/>
      <c r="D28" s="81"/>
      <c r="E28" s="81"/>
      <c r="F28" s="81"/>
      <c r="G28" s="81"/>
      <c r="H28" s="122" t="s">
        <v>128</v>
      </c>
      <c r="I28" s="122"/>
      <c r="J28" s="81"/>
      <c r="K28" s="123"/>
    </row>
    <row r="29" spans="1:18" ht="54.75" customHeight="1" thickBot="1" x14ac:dyDescent="0.3">
      <c r="A29" s="140" t="s">
        <v>32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2"/>
      <c r="O29" s="5" t="s">
        <v>106</v>
      </c>
    </row>
    <row r="30" spans="1:18" ht="70.5" customHeight="1" thickBot="1" x14ac:dyDescent="0.3">
      <c r="A30" s="164" t="s">
        <v>123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6"/>
      <c r="R30" s="81"/>
    </row>
    <row r="31" spans="1:18" ht="3" customHeight="1" thickBot="1" x14ac:dyDescent="0.3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34"/>
      <c r="R31" s="81"/>
    </row>
    <row r="32" spans="1:18" x14ac:dyDescent="0.25">
      <c r="A32" s="115"/>
      <c r="B32" s="116"/>
      <c r="C32" s="116"/>
      <c r="D32" s="116"/>
      <c r="E32" s="117"/>
      <c r="F32" s="118" t="s">
        <v>127</v>
      </c>
      <c r="G32" s="117"/>
      <c r="H32" s="116"/>
      <c r="I32" s="116"/>
      <c r="J32" s="116"/>
      <c r="K32" s="119"/>
    </row>
    <row r="33" spans="1:11" x14ac:dyDescent="0.25">
      <c r="A33" s="18" t="s">
        <v>5</v>
      </c>
      <c r="K33" s="17"/>
    </row>
    <row r="34" spans="1:11" x14ac:dyDescent="0.25">
      <c r="A34" s="18" t="s">
        <v>6</v>
      </c>
      <c r="G34" s="5" t="s">
        <v>7</v>
      </c>
      <c r="K34" s="17"/>
    </row>
    <row r="35" spans="1:11" x14ac:dyDescent="0.25">
      <c r="A35" s="18" t="s">
        <v>8</v>
      </c>
      <c r="G35" s="5" t="s">
        <v>9</v>
      </c>
      <c r="K35" s="17"/>
    </row>
    <row r="36" spans="1:11" x14ac:dyDescent="0.25">
      <c r="A36" s="18" t="s">
        <v>10</v>
      </c>
      <c r="G36" s="5" t="s">
        <v>11</v>
      </c>
      <c r="I36" s="5" t="s">
        <v>12</v>
      </c>
      <c r="K36" s="17"/>
    </row>
    <row r="37" spans="1:11" x14ac:dyDescent="0.25">
      <c r="A37" s="18" t="s">
        <v>13</v>
      </c>
      <c r="G37" s="5" t="s">
        <v>14</v>
      </c>
      <c r="I37" s="25" t="s">
        <v>15</v>
      </c>
      <c r="K37" s="17"/>
    </row>
    <row r="38" spans="1:11" x14ac:dyDescent="0.25">
      <c r="A38" s="18" t="s">
        <v>16</v>
      </c>
      <c r="D38" s="5" t="s">
        <v>17</v>
      </c>
      <c r="G38" s="5" t="s">
        <v>18</v>
      </c>
      <c r="I38" s="25" t="s">
        <v>19</v>
      </c>
      <c r="K38" s="17"/>
    </row>
    <row r="39" spans="1:11" x14ac:dyDescent="0.25">
      <c r="A39" s="18" t="s">
        <v>33</v>
      </c>
      <c r="K39" s="17"/>
    </row>
    <row r="40" spans="1:11" ht="15.75" thickBot="1" x14ac:dyDescent="0.3">
      <c r="A40" s="19" t="s">
        <v>20</v>
      </c>
      <c r="B40" s="20"/>
      <c r="C40" s="20"/>
      <c r="D40" s="20"/>
      <c r="E40" s="20"/>
      <c r="F40" s="20" t="s">
        <v>21</v>
      </c>
      <c r="G40" s="20"/>
      <c r="H40" s="20"/>
      <c r="I40" s="20"/>
      <c r="J40" s="20"/>
      <c r="K40" s="21"/>
    </row>
    <row r="41" spans="1:11" ht="15.75" x14ac:dyDescent="0.25">
      <c r="A41" s="100" t="s">
        <v>107</v>
      </c>
      <c r="B41" s="76"/>
      <c r="C41" s="76"/>
      <c r="D41" s="76"/>
      <c r="E41" s="76"/>
      <c r="F41" s="76"/>
      <c r="G41" s="76"/>
      <c r="H41" s="76"/>
      <c r="I41" s="95"/>
      <c r="J41" s="95"/>
      <c r="K41" s="96"/>
    </row>
    <row r="42" spans="1:11" s="10" customFormat="1" ht="15.75" x14ac:dyDescent="0.25">
      <c r="A42" s="131"/>
      <c r="B42" s="75" t="s">
        <v>137</v>
      </c>
      <c r="C42" s="75"/>
      <c r="D42" s="75"/>
      <c r="K42" s="101"/>
    </row>
    <row r="43" spans="1:11" s="10" customFormat="1" ht="15.75" x14ac:dyDescent="0.25">
      <c r="A43" s="102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/>
      </c>
      <c r="B43" s="126" t="s">
        <v>138</v>
      </c>
      <c r="C43" s="103"/>
      <c r="D43" s="103"/>
      <c r="K43" s="101"/>
    </row>
    <row r="44" spans="1:11" s="10" customFormat="1" ht="16.5" thickBot="1" x14ac:dyDescent="0.3">
      <c r="A44" s="104" t="s">
        <v>101</v>
      </c>
      <c r="B44" s="105"/>
      <c r="C44" s="105"/>
      <c r="D44" s="105"/>
      <c r="E44" s="98"/>
      <c r="F44" s="98"/>
      <c r="G44" s="98"/>
      <c r="H44" s="98"/>
      <c r="I44" s="98"/>
      <c r="J44" s="98"/>
      <c r="K44" s="106"/>
    </row>
    <row r="45" spans="1:11" ht="77.25" customHeight="1" thickBot="1" x14ac:dyDescent="0.3">
      <c r="A45" s="135" t="s">
        <v>113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37"/>
    </row>
    <row r="83" spans="1:17" s="35" customForma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35" t="s">
        <v>91</v>
      </c>
    </row>
    <row r="84" spans="1:17" s="35" customForma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35" t="s">
        <v>92</v>
      </c>
    </row>
    <row r="85" spans="1:17" s="35" customFormat="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1:17" s="36" customFormat="1" x14ac:dyDescent="0.25">
      <c r="A86" s="35" t="e">
        <f>CONCATENATE(C86,K86)</f>
        <v>#REF!</v>
      </c>
      <c r="B86" s="35" t="e">
        <f>A87&amp;"\"</f>
        <v>#REF!</v>
      </c>
      <c r="C86" s="35" t="e">
        <f>"V:\Gerhs\SUPRIMENTOS\LICITAÇÕES E CONTRATOS\"&amp;#REF!&amp;"\COTAÇÕES DE COMPRAS"&amp;"\"</f>
        <v>#REF!</v>
      </c>
      <c r="D86" s="35"/>
      <c r="E86" s="35"/>
      <c r="F86" s="35"/>
      <c r="G86" s="35"/>
      <c r="H86" s="35"/>
      <c r="I86" s="35"/>
      <c r="J86" s="35"/>
      <c r="K86" s="35" t="e">
        <f>#REF!&amp;" - "&amp;LEFT($D$8,30)&amp;"-"</f>
        <v>#REF!</v>
      </c>
      <c r="M86" s="44"/>
      <c r="N86" s="44"/>
      <c r="O86" s="44"/>
      <c r="P86" s="44"/>
      <c r="Q86" s="44"/>
    </row>
    <row r="87" spans="1:17" s="36" customFormat="1" x14ac:dyDescent="0.25">
      <c r="A87" s="35" t="e">
        <f>CONCATENATE($C$86,$K$86,L83)</f>
        <v>#REF!</v>
      </c>
      <c r="B87" s="35" t="e">
        <f>#REF!&amp;"_"&amp;#REF!&amp;".xlsm"</f>
        <v>#REF!</v>
      </c>
      <c r="C87" s="35"/>
      <c r="D87" s="35"/>
      <c r="E87" s="35"/>
      <c r="F87" s="35"/>
      <c r="G87" s="35"/>
      <c r="H87" s="35"/>
      <c r="I87" s="35"/>
      <c r="J87" s="35"/>
      <c r="K87" s="35"/>
      <c r="M87" s="44"/>
      <c r="N87" s="44"/>
      <c r="O87" s="44"/>
      <c r="P87" s="44"/>
      <c r="Q87" s="44"/>
    </row>
    <row r="88" spans="1:17" s="36" customFormat="1" x14ac:dyDescent="0.25">
      <c r="A88" s="35" t="e">
        <f>CONCATENATE($C$86,$K$86,L84)</f>
        <v>#REF!</v>
      </c>
      <c r="B88" s="35" t="e">
        <f>#REF!&amp;"_Cotação_"&amp;#REF!&amp;".pdf"</f>
        <v>#REF!</v>
      </c>
      <c r="C88" s="35"/>
      <c r="D88" s="35"/>
      <c r="E88" s="35"/>
      <c r="F88" s="35"/>
      <c r="G88" s="35"/>
      <c r="H88" s="35"/>
      <c r="I88" s="35"/>
      <c r="J88" s="35"/>
      <c r="K88" s="35"/>
      <c r="M88" s="44"/>
      <c r="N88" s="44"/>
      <c r="O88" s="44"/>
      <c r="P88" s="44"/>
      <c r="Q88" s="44"/>
    </row>
    <row r="89" spans="1:17" s="36" customFormat="1" x14ac:dyDescent="0.25">
      <c r="B89" s="35" t="e">
        <f>#REF!&amp;"_Comparativo_"&amp;#REF!&amp;".pdf"</f>
        <v>#REF!</v>
      </c>
      <c r="M89" s="44"/>
      <c r="N89" s="44"/>
      <c r="O89" s="44"/>
      <c r="P89" s="44"/>
      <c r="Q89" s="44"/>
    </row>
    <row r="90" spans="1:17" s="36" customFormat="1" x14ac:dyDescent="0.25">
      <c r="B90" s="35" t="e">
        <f>#REF!&amp;"_Resultado_"&amp;#REF!&amp;".pdf"</f>
        <v>#REF!</v>
      </c>
      <c r="M90" s="44"/>
      <c r="N90" s="44"/>
      <c r="O90" s="44"/>
      <c r="P90" s="44"/>
      <c r="Q90" s="44"/>
    </row>
    <row r="91" spans="1:17" s="36" customFormat="1" x14ac:dyDescent="0.25">
      <c r="B91" s="35" t="e">
        <f>"V:\Gerhs\SUPRIMENTOS\LICITAÇÕES E CONTRATOS\"&amp;#REF!&amp;"\COTAÇÕES DE COMPRAS\000 - COTAÇÕES ME-EPP\" &amp; "Formulário de Cotação - ME-EPP2.xlsm"</f>
        <v>#REF!</v>
      </c>
      <c r="M91" s="44"/>
      <c r="N91" s="44"/>
      <c r="O91" s="44"/>
      <c r="P91" s="44"/>
      <c r="Q91" s="44"/>
    </row>
    <row r="92" spans="1:17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44"/>
      <c r="N92" s="44"/>
      <c r="O92" s="44"/>
      <c r="P92" s="44"/>
      <c r="Q92" s="44"/>
    </row>
    <row r="93" spans="1:17" ht="15.75" x14ac:dyDescent="0.25">
      <c r="A93" s="36"/>
      <c r="B93" s="3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070/2026. 
Aguardaremos retorno até 17/06/2026.
Favor nos enviar a proposta em papel timbrado de sua empresa, NÃO UTILIZAR A LOGOMARCA DA SCGÁS. 
 Atenciosamente, 
 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44"/>
      <c r="N93" s="44"/>
      <c r="O93" s="44"/>
      <c r="P93" s="44"/>
      <c r="Q93" s="44"/>
    </row>
    <row r="94" spans="1:17" x14ac:dyDescent="0.25">
      <c r="A94" s="36"/>
      <c r="B94" s="38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070/2026,  encerrada em 17/06/2026.
 Atenciosamente, 
Fone: 48 3229-1200</v>
      </c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44"/>
      <c r="N94" s="44"/>
      <c r="O94" s="44"/>
      <c r="P94" s="44"/>
      <c r="Q94" s="44"/>
    </row>
    <row r="95" spans="1:17" ht="15.75" x14ac:dyDescent="0.25">
      <c r="A95" s="44"/>
      <c r="B95" s="45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</row>
    <row r="96" spans="1:17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</row>
    <row r="97" spans="1:17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</row>
  </sheetData>
  <dataConsolidate/>
  <mergeCells count="34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hyperlinks>
    <hyperlink ref="B43" r:id="rId1" xr:uid="{EAAF0323-A91A-42FC-94FC-9F151001E453}"/>
  </hyperlink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2"/>
  <drawing r:id="rId3"/>
  <legacyDrawing r:id="rId4"/>
  <oleObjects>
    <mc:AlternateContent xmlns:mc="http://schemas.openxmlformats.org/markup-compatibility/2006">
      <mc:Choice Requires="x14">
        <oleObject progId="Word.Picture.8" shapeId="2051" r:id="rId5">
          <objectPr defaultSize="0" autoPict="0" r:id="rId6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5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'NÃO EXLUIR'!$A$83:$A$86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'NÃO EXLUIR'!$H$83:$H$92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A29:K29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L56"/>
  <sheetViews>
    <sheetView view="pageBreakPreview" zoomScale="110" zoomScaleNormal="115" zoomScaleSheetLayoutView="110" workbookViewId="0">
      <selection activeCell="A20" sqref="A20:XFD33"/>
    </sheetView>
  </sheetViews>
  <sheetFormatPr defaultColWidth="9.140625" defaultRowHeight="15" x14ac:dyDescent="0.25"/>
  <cols>
    <col min="1" max="1" width="10.5703125" style="5" customWidth="1"/>
    <col min="2" max="3" width="9.140625" style="5"/>
    <col min="4" max="4" width="10.140625" style="5" customWidth="1"/>
    <col min="5" max="5" width="12.7109375" style="5" customWidth="1"/>
    <col min="6" max="6" width="10.140625" style="5" customWidth="1"/>
    <col min="7" max="7" width="12.7109375" style="5" customWidth="1"/>
    <col min="8" max="8" width="10.140625" style="5" customWidth="1"/>
    <col min="9" max="9" width="12.7109375" style="5" customWidth="1"/>
    <col min="10" max="10" width="11.7109375" style="5" customWidth="1"/>
    <col min="11" max="11" width="12.7109375" style="5" customWidth="1"/>
    <col min="12" max="16384" width="9.140625" style="5"/>
  </cols>
  <sheetData>
    <row r="1" spans="1:11" x14ac:dyDescent="0.25">
      <c r="H1" s="6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8" t="s">
        <v>23</v>
      </c>
      <c r="J2" s="9" t="str">
        <f>Cotação!J2</f>
        <v>070/2026</v>
      </c>
      <c r="K2" s="7"/>
    </row>
    <row r="3" spans="1:11" ht="16.5" thickTop="1" thickBot="1" x14ac:dyDescent="0.3"/>
    <row r="4" spans="1:11" s="10" customFormat="1" ht="15.75" customHeight="1" x14ac:dyDescent="0.25">
      <c r="A4" s="192" t="s">
        <v>0</v>
      </c>
      <c r="B4" s="193"/>
      <c r="C4" s="196" t="s">
        <v>115</v>
      </c>
      <c r="D4" s="196"/>
      <c r="E4" s="196"/>
      <c r="F4" s="196"/>
      <c r="G4" s="192" t="s">
        <v>122</v>
      </c>
      <c r="H4" s="198"/>
      <c r="I4" s="198"/>
      <c r="J4" s="198"/>
      <c r="K4" s="193"/>
    </row>
    <row r="5" spans="1:11" ht="15.75" thickBot="1" x14ac:dyDescent="0.3">
      <c r="A5" s="194" t="str">
        <f>J2</f>
        <v>070/2026</v>
      </c>
      <c r="B5" s="195"/>
      <c r="C5" s="197">
        <f>Cotação!C4</f>
        <v>46185</v>
      </c>
      <c r="D5" s="197"/>
      <c r="E5" s="197"/>
      <c r="F5" s="197"/>
      <c r="G5" s="199">
        <f>Cotação!H4</f>
        <v>46190</v>
      </c>
      <c r="H5" s="197"/>
      <c r="I5" s="197"/>
      <c r="J5" s="197"/>
      <c r="K5" s="200"/>
    </row>
    <row r="6" spans="1:11" x14ac:dyDescent="0.25">
      <c r="A6" s="202" t="s">
        <v>112</v>
      </c>
      <c r="B6" s="203"/>
      <c r="C6" s="203"/>
      <c r="D6" s="203"/>
      <c r="E6" s="203"/>
      <c r="F6" s="203"/>
      <c r="G6" s="203"/>
      <c r="H6" s="203"/>
      <c r="I6" s="203"/>
      <c r="J6" s="203"/>
      <c r="K6" s="204"/>
    </row>
    <row r="7" spans="1:11" ht="15.75" thickBot="1" x14ac:dyDescent="0.3">
      <c r="A7" s="205"/>
      <c r="B7" s="206"/>
      <c r="C7" s="206"/>
      <c r="D7" s="206"/>
      <c r="E7" s="206"/>
      <c r="F7" s="206"/>
      <c r="G7" s="206"/>
      <c r="H7" s="206"/>
      <c r="I7" s="206"/>
      <c r="J7" s="206"/>
      <c r="K7" s="207"/>
    </row>
    <row r="8" spans="1:11" ht="16.5" thickBot="1" x14ac:dyDescent="0.3">
      <c r="A8" s="26"/>
      <c r="B8" s="27"/>
      <c r="C8" s="27"/>
      <c r="D8" s="50"/>
      <c r="E8" s="50"/>
      <c r="F8" s="51" t="s">
        <v>42</v>
      </c>
      <c r="G8" s="50"/>
      <c r="H8" s="50"/>
      <c r="I8" s="27"/>
      <c r="J8" s="114" t="s">
        <v>95</v>
      </c>
      <c r="K8" s="52" t="s">
        <v>53</v>
      </c>
    </row>
    <row r="9" spans="1:11" x14ac:dyDescent="0.25">
      <c r="A9" s="41" t="s">
        <v>47</v>
      </c>
      <c r="B9" s="209"/>
      <c r="C9" s="210"/>
      <c r="D9" s="210"/>
      <c r="E9" s="210"/>
      <c r="F9" s="210"/>
      <c r="G9" s="210"/>
      <c r="H9" s="210"/>
      <c r="I9" s="211"/>
      <c r="J9" s="88"/>
      <c r="K9" s="89" t="s">
        <v>29</v>
      </c>
    </row>
    <row r="10" spans="1:11" x14ac:dyDescent="0.25">
      <c r="A10" s="42" t="s">
        <v>50</v>
      </c>
      <c r="B10" s="201"/>
      <c r="C10" s="201"/>
      <c r="D10" s="201"/>
      <c r="E10" s="201"/>
      <c r="F10" s="201"/>
      <c r="G10" s="201"/>
      <c r="H10" s="201"/>
      <c r="I10" s="201"/>
      <c r="J10" s="56"/>
      <c r="K10" s="90" t="s">
        <v>29</v>
      </c>
    </row>
    <row r="11" spans="1:11" x14ac:dyDescent="0.25">
      <c r="A11" s="42" t="s">
        <v>51</v>
      </c>
      <c r="B11" s="201"/>
      <c r="C11" s="201"/>
      <c r="D11" s="201"/>
      <c r="E11" s="201"/>
      <c r="F11" s="201"/>
      <c r="G11" s="201"/>
      <c r="H11" s="201"/>
      <c r="I11" s="201"/>
      <c r="J11" s="56"/>
      <c r="K11" s="90" t="s">
        <v>29</v>
      </c>
    </row>
    <row r="12" spans="1:11" x14ac:dyDescent="0.25">
      <c r="A12" s="42" t="s">
        <v>52</v>
      </c>
      <c r="B12" s="201"/>
      <c r="C12" s="201"/>
      <c r="D12" s="201"/>
      <c r="E12" s="201"/>
      <c r="F12" s="201"/>
      <c r="G12" s="201"/>
      <c r="H12" s="201"/>
      <c r="I12" s="201"/>
      <c r="J12" s="56"/>
      <c r="K12" s="90" t="s">
        <v>29</v>
      </c>
    </row>
    <row r="13" spans="1:11" x14ac:dyDescent="0.25">
      <c r="A13" s="42" t="s">
        <v>83</v>
      </c>
      <c r="B13" s="201"/>
      <c r="C13" s="201"/>
      <c r="D13" s="201"/>
      <c r="E13" s="201"/>
      <c r="F13" s="201"/>
      <c r="G13" s="201"/>
      <c r="H13" s="201"/>
      <c r="I13" s="201"/>
      <c r="J13" s="56"/>
      <c r="K13" s="90" t="s">
        <v>29</v>
      </c>
    </row>
    <row r="14" spans="1:11" ht="15.75" thickBot="1" x14ac:dyDescent="0.3">
      <c r="A14" s="43" t="s">
        <v>84</v>
      </c>
      <c r="B14" s="208"/>
      <c r="C14" s="208"/>
      <c r="D14" s="208"/>
      <c r="E14" s="208"/>
      <c r="F14" s="208"/>
      <c r="G14" s="208"/>
      <c r="H14" s="208"/>
      <c r="I14" s="208"/>
      <c r="J14" s="91"/>
      <c r="K14" s="92" t="s">
        <v>29</v>
      </c>
    </row>
    <row r="15" spans="1:11" ht="15.75" thickBot="1" x14ac:dyDescent="0.3"/>
    <row r="16" spans="1:11" x14ac:dyDescent="0.25">
      <c r="A16" s="14"/>
      <c r="B16" s="48"/>
      <c r="C16" s="48"/>
      <c r="D16" s="48"/>
      <c r="E16" s="48"/>
      <c r="F16" s="49" t="s">
        <v>103</v>
      </c>
      <c r="G16" s="48"/>
      <c r="H16" s="48"/>
      <c r="I16" s="48"/>
      <c r="J16" s="48"/>
      <c r="K16" s="16"/>
    </row>
    <row r="17" spans="1:11" x14ac:dyDescent="0.25">
      <c r="A17" s="224" t="s">
        <v>1</v>
      </c>
      <c r="B17" s="226" t="s">
        <v>24</v>
      </c>
      <c r="C17" s="234" t="s">
        <v>25</v>
      </c>
      <c r="D17" s="232" t="s">
        <v>47</v>
      </c>
      <c r="E17" s="233"/>
      <c r="F17" s="228" t="s">
        <v>50</v>
      </c>
      <c r="G17" s="229"/>
      <c r="H17" s="228" t="s">
        <v>51</v>
      </c>
      <c r="I17" s="229"/>
      <c r="J17" s="230" t="s">
        <v>52</v>
      </c>
      <c r="K17" s="231"/>
    </row>
    <row r="18" spans="1:11" x14ac:dyDescent="0.25">
      <c r="A18" s="225"/>
      <c r="B18" s="227"/>
      <c r="C18" s="226"/>
      <c r="D18" s="107" t="s">
        <v>48</v>
      </c>
      <c r="E18" s="107" t="s">
        <v>49</v>
      </c>
      <c r="F18" s="107" t="s">
        <v>48</v>
      </c>
      <c r="G18" s="107" t="s">
        <v>49</v>
      </c>
      <c r="H18" s="107" t="s">
        <v>48</v>
      </c>
      <c r="I18" s="107" t="s">
        <v>49</v>
      </c>
      <c r="J18" s="108" t="s">
        <v>48</v>
      </c>
      <c r="K18" s="109" t="s">
        <v>49</v>
      </c>
    </row>
    <row r="19" spans="1:11" ht="15.75" thickBot="1" x14ac:dyDescent="0.3">
      <c r="A19" s="28" t="s">
        <v>38</v>
      </c>
      <c r="B19" s="65" t="str">
        <f>IF(Cotação!B8="","",Cotação!B8)</f>
        <v/>
      </c>
      <c r="C19" s="29" t="str">
        <f>IF(Cotação!C8="","",Cotação!C8)</f>
        <v/>
      </c>
      <c r="D19" s="40"/>
      <c r="E19" s="40" t="str">
        <f>IF(B19="","",(IF($K$9="SC",D19*B19,(D19*B19)*1)))</f>
        <v/>
      </c>
      <c r="F19" s="40"/>
      <c r="G19" s="40" t="str">
        <f>IF(B19="","",IF($K$10="SC",F19*B19,(F19*B19)*1))</f>
        <v/>
      </c>
      <c r="H19" s="40"/>
      <c r="I19" s="40" t="str">
        <f>IF(B19="","",IF($K$11="SC",H19*B19,(H19*B19)*1))</f>
        <v/>
      </c>
      <c r="J19" s="46"/>
      <c r="K19" s="47" t="str">
        <f>IF(B19="","",IF($K$12="SC",J19*B19,(J19*B19)*1))</f>
        <v/>
      </c>
    </row>
    <row r="20" spans="1:11" hidden="1" x14ac:dyDescent="0.25">
      <c r="A20" s="28" t="s">
        <v>39</v>
      </c>
      <c r="B20" s="65" t="str">
        <f>IF(Cotação!B9="","",Cotação!B9)</f>
        <v/>
      </c>
      <c r="C20" s="29" t="str">
        <f>IF(Cotação!C9="","",Cotação!C9)</f>
        <v/>
      </c>
      <c r="D20" s="40"/>
      <c r="E20" s="40" t="str">
        <f t="shared" ref="E20:E33" si="0">IF(B20="","",(IF($K$9="SC",D20*B20,(D20*B20)*1)))</f>
        <v/>
      </c>
      <c r="F20" s="40"/>
      <c r="G20" s="40" t="str">
        <f t="shared" ref="G20:G33" si="1">IF(B20="","",IF($K$10="SC",F20*B20,(F20*B20)*1))</f>
        <v/>
      </c>
      <c r="H20" s="40"/>
      <c r="I20" s="40" t="str">
        <f t="shared" ref="I20:I33" si="2">IF(B20="","",IF($K$11="SC",H20*B20,(H20*B20)*1))</f>
        <v/>
      </c>
      <c r="J20" s="46"/>
      <c r="K20" s="47" t="str">
        <f t="shared" ref="K20:K33" si="3">IF(B20="","",IF($K$12="SC",J20*B20,(J20*B20)*1))</f>
        <v/>
      </c>
    </row>
    <row r="21" spans="1:11" hidden="1" x14ac:dyDescent="0.25">
      <c r="A21" s="28" t="s">
        <v>43</v>
      </c>
      <c r="B21" s="65" t="str">
        <f>IF(Cotação!B10="","",Cotação!B10)</f>
        <v/>
      </c>
      <c r="C21" s="29" t="str">
        <f>IF(Cotação!C10="","",Cotação!C10)</f>
        <v/>
      </c>
      <c r="D21" s="40"/>
      <c r="E21" s="40" t="str">
        <f t="shared" si="0"/>
        <v/>
      </c>
      <c r="F21" s="40"/>
      <c r="G21" s="40" t="str">
        <f t="shared" si="1"/>
        <v/>
      </c>
      <c r="H21" s="40"/>
      <c r="I21" s="40" t="str">
        <f t="shared" si="2"/>
        <v/>
      </c>
      <c r="J21" s="46"/>
      <c r="K21" s="47" t="str">
        <f t="shared" si="3"/>
        <v/>
      </c>
    </row>
    <row r="22" spans="1:11" hidden="1" x14ac:dyDescent="0.25">
      <c r="A22" s="28" t="s">
        <v>44</v>
      </c>
      <c r="B22" s="65" t="str">
        <f>IF(Cotação!B11="","",Cotação!B11)</f>
        <v/>
      </c>
      <c r="C22" s="29" t="str">
        <f>IF(Cotação!C11="","",Cotação!C11)</f>
        <v/>
      </c>
      <c r="D22" s="40"/>
      <c r="E22" s="40" t="str">
        <f t="shared" si="0"/>
        <v/>
      </c>
      <c r="F22" s="40"/>
      <c r="G22" s="40" t="str">
        <f t="shared" si="1"/>
        <v/>
      </c>
      <c r="H22" s="40"/>
      <c r="I22" s="40" t="str">
        <f t="shared" si="2"/>
        <v/>
      </c>
      <c r="J22" s="46"/>
      <c r="K22" s="47" t="str">
        <f t="shared" si="3"/>
        <v/>
      </c>
    </row>
    <row r="23" spans="1:11" hidden="1" x14ac:dyDescent="0.25">
      <c r="A23" s="28" t="s">
        <v>40</v>
      </c>
      <c r="B23" s="65" t="str">
        <f>IF(Cotação!B12="","",Cotação!B12)</f>
        <v/>
      </c>
      <c r="C23" s="29" t="str">
        <f>IF(Cotação!C12="","",Cotação!C12)</f>
        <v/>
      </c>
      <c r="D23" s="40"/>
      <c r="E23" s="40" t="str">
        <f t="shared" si="0"/>
        <v/>
      </c>
      <c r="F23" s="40"/>
      <c r="G23" s="40" t="str">
        <f t="shared" si="1"/>
        <v/>
      </c>
      <c r="H23" s="40"/>
      <c r="I23" s="40" t="str">
        <f t="shared" si="2"/>
        <v/>
      </c>
      <c r="J23" s="46"/>
      <c r="K23" s="47" t="str">
        <f t="shared" si="3"/>
        <v/>
      </c>
    </row>
    <row r="24" spans="1:11" hidden="1" x14ac:dyDescent="0.25">
      <c r="A24" s="28" t="s">
        <v>41</v>
      </c>
      <c r="B24" s="65" t="str">
        <f>IF(Cotação!B13="","",Cotação!B13)</f>
        <v/>
      </c>
      <c r="C24" s="29" t="str">
        <f>IF(Cotação!C13="","",Cotação!C13)</f>
        <v/>
      </c>
      <c r="D24" s="40"/>
      <c r="E24" s="40" t="str">
        <f t="shared" si="0"/>
        <v/>
      </c>
      <c r="F24" s="40"/>
      <c r="G24" s="40" t="str">
        <f t="shared" si="1"/>
        <v/>
      </c>
      <c r="H24" s="40"/>
      <c r="I24" s="40" t="str">
        <f t="shared" si="2"/>
        <v/>
      </c>
      <c r="J24" s="46"/>
      <c r="K24" s="47" t="str">
        <f t="shared" si="3"/>
        <v/>
      </c>
    </row>
    <row r="25" spans="1:11" hidden="1" x14ac:dyDescent="0.25">
      <c r="A25" s="28" t="s">
        <v>45</v>
      </c>
      <c r="B25" s="65" t="str">
        <f>IF(Cotação!B14="","",Cotação!B14)</f>
        <v/>
      </c>
      <c r="C25" s="29" t="str">
        <f>IF(Cotação!C14="","",Cotação!C14)</f>
        <v/>
      </c>
      <c r="D25" s="40"/>
      <c r="E25" s="40" t="str">
        <f t="shared" si="0"/>
        <v/>
      </c>
      <c r="F25" s="40"/>
      <c r="G25" s="40" t="str">
        <f t="shared" si="1"/>
        <v/>
      </c>
      <c r="H25" s="40"/>
      <c r="I25" s="40" t="str">
        <f t="shared" si="2"/>
        <v/>
      </c>
      <c r="J25" s="46"/>
      <c r="K25" s="47" t="str">
        <f t="shared" si="3"/>
        <v/>
      </c>
    </row>
    <row r="26" spans="1:11" hidden="1" x14ac:dyDescent="0.25">
      <c r="A26" s="28" t="s">
        <v>46</v>
      </c>
      <c r="B26" s="65" t="str">
        <f>IF(Cotação!B15="","",Cotação!B15)</f>
        <v/>
      </c>
      <c r="C26" s="29" t="str">
        <f>IF(Cotação!C15="","",Cotação!C15)</f>
        <v/>
      </c>
      <c r="D26" s="40"/>
      <c r="E26" s="40" t="str">
        <f t="shared" si="0"/>
        <v/>
      </c>
      <c r="F26" s="40"/>
      <c r="G26" s="40" t="str">
        <f t="shared" si="1"/>
        <v/>
      </c>
      <c r="H26" s="40"/>
      <c r="I26" s="40" t="str">
        <f t="shared" si="2"/>
        <v/>
      </c>
      <c r="J26" s="46"/>
      <c r="K26" s="47" t="str">
        <f t="shared" si="3"/>
        <v/>
      </c>
    </row>
    <row r="27" spans="1:11" hidden="1" x14ac:dyDescent="0.25">
      <c r="A27" s="28">
        <v>9</v>
      </c>
      <c r="B27" s="65" t="str">
        <f>IF(Cotação!B16="","",Cotação!B16)</f>
        <v/>
      </c>
      <c r="C27" s="29" t="str">
        <f>IF(Cotação!C16="","",Cotação!C16)</f>
        <v/>
      </c>
      <c r="D27" s="40"/>
      <c r="E27" s="40" t="str">
        <f t="shared" si="0"/>
        <v/>
      </c>
      <c r="F27" s="40"/>
      <c r="G27" s="40" t="str">
        <f t="shared" si="1"/>
        <v/>
      </c>
      <c r="H27" s="40"/>
      <c r="I27" s="40" t="str">
        <f t="shared" si="2"/>
        <v/>
      </c>
      <c r="J27" s="46"/>
      <c r="K27" s="47" t="str">
        <f t="shared" si="3"/>
        <v/>
      </c>
    </row>
    <row r="28" spans="1:11" hidden="1" x14ac:dyDescent="0.25">
      <c r="A28" s="28">
        <v>10</v>
      </c>
      <c r="B28" s="65" t="str">
        <f>IF(Cotação!B17="","",Cotação!B17)</f>
        <v/>
      </c>
      <c r="C28" s="29" t="str">
        <f>IF(Cotação!C17="","",Cotação!C17)</f>
        <v/>
      </c>
      <c r="D28" s="40"/>
      <c r="E28" s="40" t="str">
        <f t="shared" si="0"/>
        <v/>
      </c>
      <c r="F28" s="40"/>
      <c r="G28" s="40" t="str">
        <f t="shared" si="1"/>
        <v/>
      </c>
      <c r="H28" s="40"/>
      <c r="I28" s="40" t="str">
        <f t="shared" si="2"/>
        <v/>
      </c>
      <c r="J28" s="46"/>
      <c r="K28" s="47" t="str">
        <f t="shared" si="3"/>
        <v/>
      </c>
    </row>
    <row r="29" spans="1:11" hidden="1" x14ac:dyDescent="0.25">
      <c r="A29" s="28">
        <v>11</v>
      </c>
      <c r="B29" s="65" t="str">
        <f>IF(Cotação!B18="","",Cotação!B18)</f>
        <v/>
      </c>
      <c r="C29" s="29" t="str">
        <f>IF(Cotação!C18="","",Cotação!C18)</f>
        <v/>
      </c>
      <c r="D29" s="40"/>
      <c r="E29" s="40" t="str">
        <f t="shared" si="0"/>
        <v/>
      </c>
      <c r="F29" s="40"/>
      <c r="G29" s="40" t="str">
        <f t="shared" si="1"/>
        <v/>
      </c>
      <c r="H29" s="40"/>
      <c r="I29" s="40" t="str">
        <f t="shared" si="2"/>
        <v/>
      </c>
      <c r="J29" s="46"/>
      <c r="K29" s="47" t="str">
        <f t="shared" si="3"/>
        <v/>
      </c>
    </row>
    <row r="30" spans="1:11" hidden="1" x14ac:dyDescent="0.25">
      <c r="A30" s="28">
        <v>12</v>
      </c>
      <c r="B30" s="65" t="str">
        <f>IF(Cotação!B19="","",Cotação!B19)</f>
        <v/>
      </c>
      <c r="C30" s="29" t="str">
        <f>IF(Cotação!C19="","",Cotação!C19)</f>
        <v/>
      </c>
      <c r="D30" s="40"/>
      <c r="E30" s="40" t="str">
        <f t="shared" si="0"/>
        <v/>
      </c>
      <c r="F30" s="40"/>
      <c r="G30" s="40" t="str">
        <f t="shared" si="1"/>
        <v/>
      </c>
      <c r="H30" s="40"/>
      <c r="I30" s="40" t="str">
        <f t="shared" si="2"/>
        <v/>
      </c>
      <c r="J30" s="40"/>
      <c r="K30" s="47" t="str">
        <f t="shared" si="3"/>
        <v/>
      </c>
    </row>
    <row r="31" spans="1:11" hidden="1" x14ac:dyDescent="0.25">
      <c r="A31" s="28">
        <v>13</v>
      </c>
      <c r="B31" s="65" t="str">
        <f>IF(Cotação!B20="","",Cotação!B20)</f>
        <v/>
      </c>
      <c r="C31" s="29" t="str">
        <f>IF(Cotação!C20="","",Cotação!C20)</f>
        <v/>
      </c>
      <c r="D31" s="40"/>
      <c r="E31" s="40" t="str">
        <f t="shared" si="0"/>
        <v/>
      </c>
      <c r="F31" s="40"/>
      <c r="G31" s="40" t="str">
        <f t="shared" si="1"/>
        <v/>
      </c>
      <c r="H31" s="40"/>
      <c r="I31" s="40" t="str">
        <f t="shared" si="2"/>
        <v/>
      </c>
      <c r="J31" s="40"/>
      <c r="K31" s="47" t="str">
        <f t="shared" si="3"/>
        <v/>
      </c>
    </row>
    <row r="32" spans="1:11" hidden="1" x14ac:dyDescent="0.25">
      <c r="A32" s="28">
        <v>14</v>
      </c>
      <c r="B32" s="65" t="str">
        <f>IF(Cotação!B21="","",Cotação!B21)</f>
        <v/>
      </c>
      <c r="C32" s="29" t="str">
        <f>IF(Cotação!C21="","",Cotação!C21)</f>
        <v/>
      </c>
      <c r="D32" s="40"/>
      <c r="E32" s="40" t="str">
        <f t="shared" si="0"/>
        <v/>
      </c>
      <c r="F32" s="40"/>
      <c r="G32" s="40" t="str">
        <f t="shared" si="1"/>
        <v/>
      </c>
      <c r="H32" s="40"/>
      <c r="I32" s="40" t="str">
        <f t="shared" si="2"/>
        <v/>
      </c>
      <c r="J32" s="40"/>
      <c r="K32" s="47" t="str">
        <f t="shared" si="3"/>
        <v/>
      </c>
    </row>
    <row r="33" spans="1:12" ht="15.75" hidden="1" thickBot="1" x14ac:dyDescent="0.3">
      <c r="A33" s="28">
        <v>15</v>
      </c>
      <c r="B33" s="65" t="str">
        <f>IF(Cotação!B22="","",Cotação!B22)</f>
        <v/>
      </c>
      <c r="C33" s="29" t="str">
        <f>IF(Cotação!C22="","",Cotação!C22)</f>
        <v/>
      </c>
      <c r="D33" s="55"/>
      <c r="E33" s="40" t="str">
        <f t="shared" si="0"/>
        <v/>
      </c>
      <c r="F33" s="40"/>
      <c r="G33" s="40" t="str">
        <f t="shared" si="1"/>
        <v/>
      </c>
      <c r="H33" s="40"/>
      <c r="I33" s="40" t="str">
        <f t="shared" si="2"/>
        <v/>
      </c>
      <c r="J33" s="40"/>
      <c r="K33" s="47" t="str">
        <f t="shared" si="3"/>
        <v/>
      </c>
    </row>
    <row r="34" spans="1:12" ht="15.75" thickBot="1" x14ac:dyDescent="0.3">
      <c r="A34" s="99"/>
      <c r="B34" s="30"/>
      <c r="D34" s="110" t="s">
        <v>3</v>
      </c>
      <c r="E34" s="111" t="str">
        <f>IF(B9="","",SUM(E19:E33))</f>
        <v/>
      </c>
      <c r="F34" s="112" t="s">
        <v>3</v>
      </c>
      <c r="G34" s="111" t="str">
        <f>IF(B10="","",SUM(G19:G33))</f>
        <v/>
      </c>
      <c r="H34" s="112" t="s">
        <v>3</v>
      </c>
      <c r="I34" s="111" t="str">
        <f>IF(B11="","",SUM(I19:I33))</f>
        <v/>
      </c>
      <c r="J34" s="112" t="s">
        <v>3</v>
      </c>
      <c r="K34" s="113" t="str">
        <f>IF(B12="","",SUM(K19:K33))</f>
        <v/>
      </c>
    </row>
    <row r="35" spans="1:12" ht="63" customHeight="1" x14ac:dyDescent="0.25">
      <c r="A35" s="221" t="s">
        <v>124</v>
      </c>
      <c r="B35" s="222"/>
      <c r="C35" s="222"/>
      <c r="D35" s="222"/>
      <c r="E35" s="222"/>
      <c r="F35" s="222"/>
      <c r="G35" s="222"/>
      <c r="H35" s="222"/>
      <c r="I35" s="222"/>
      <c r="J35" s="222"/>
      <c r="K35" s="223"/>
    </row>
    <row r="36" spans="1:12" ht="67.5" customHeight="1" thickBot="1" x14ac:dyDescent="0.3">
      <c r="A36" s="247" t="s">
        <v>109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9"/>
      <c r="L36" s="6"/>
    </row>
    <row r="37" spans="1:12" x14ac:dyDescent="0.25">
      <c r="A37" s="31"/>
      <c r="B37" s="32"/>
      <c r="C37" s="15"/>
      <c r="D37" s="15"/>
      <c r="E37" s="48"/>
      <c r="F37" s="49" t="s">
        <v>104</v>
      </c>
      <c r="G37" s="48"/>
      <c r="H37" s="15"/>
      <c r="I37" s="15"/>
      <c r="J37" s="15"/>
      <c r="K37" s="16"/>
    </row>
    <row r="38" spans="1:12" x14ac:dyDescent="0.25">
      <c r="A38" s="215" t="s">
        <v>29</v>
      </c>
      <c r="B38" s="216"/>
      <c r="C38" s="216"/>
      <c r="D38" s="216"/>
      <c r="E38" s="216"/>
      <c r="F38" s="216"/>
      <c r="G38" s="216"/>
      <c r="H38" s="216"/>
      <c r="I38" s="216"/>
      <c r="J38" s="216"/>
      <c r="K38" s="217"/>
    </row>
    <row r="39" spans="1:12" x14ac:dyDescent="0.25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20"/>
    </row>
    <row r="40" spans="1:12" ht="30" customHeight="1" x14ac:dyDescent="0.25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20"/>
    </row>
    <row r="41" spans="1:12" ht="12" customHeight="1" thickBot="1" x14ac:dyDescent="0.3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9"/>
    </row>
    <row r="42" spans="1:12" x14ac:dyDescent="0.25">
      <c r="A42" s="31"/>
      <c r="B42" s="32"/>
      <c r="C42" s="15"/>
      <c r="D42" s="15"/>
      <c r="E42" s="15"/>
      <c r="F42" s="48" t="s">
        <v>81</v>
      </c>
      <c r="G42" s="15"/>
      <c r="H42" s="15"/>
      <c r="I42" s="15"/>
      <c r="J42" s="15"/>
      <c r="K42" s="16"/>
    </row>
    <row r="43" spans="1:12" ht="14.25" customHeight="1" x14ac:dyDescent="0.25">
      <c r="A43" s="241" t="s">
        <v>29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2" x14ac:dyDescent="0.25">
      <c r="A44" s="241"/>
      <c r="B44" s="242"/>
      <c r="C44" s="242"/>
      <c r="D44" s="242"/>
      <c r="E44" s="242"/>
      <c r="F44" s="242"/>
      <c r="G44" s="242"/>
      <c r="H44" s="242"/>
      <c r="I44" s="242"/>
      <c r="J44" s="242"/>
      <c r="K44" s="243"/>
    </row>
    <row r="45" spans="1:12" x14ac:dyDescent="0.25">
      <c r="A45" s="241"/>
      <c r="B45" s="242"/>
      <c r="C45" s="242"/>
      <c r="D45" s="242"/>
      <c r="E45" s="242"/>
      <c r="F45" s="242"/>
      <c r="G45" s="242"/>
      <c r="H45" s="242"/>
      <c r="I45" s="242"/>
      <c r="J45" s="242"/>
      <c r="K45" s="243"/>
    </row>
    <row r="46" spans="1:12" ht="3.75" customHeight="1" thickBot="1" x14ac:dyDescent="0.3">
      <c r="A46" s="241"/>
      <c r="B46" s="242"/>
      <c r="C46" s="242"/>
      <c r="D46" s="242"/>
      <c r="E46" s="242"/>
      <c r="F46" s="242"/>
      <c r="G46" s="242"/>
      <c r="H46" s="242"/>
      <c r="I46" s="242"/>
      <c r="J46" s="242"/>
      <c r="K46" s="243"/>
    </row>
    <row r="47" spans="1:12" ht="15.75" hidden="1" thickBot="1" x14ac:dyDescent="0.3">
      <c r="A47" s="241"/>
      <c r="B47" s="242"/>
      <c r="C47" s="242"/>
      <c r="D47" s="242"/>
      <c r="E47" s="242"/>
      <c r="F47" s="242"/>
      <c r="G47" s="242"/>
      <c r="H47" s="242"/>
      <c r="I47" s="242"/>
      <c r="J47" s="242"/>
      <c r="K47" s="243"/>
    </row>
    <row r="48" spans="1:12" ht="15.75" hidden="1" thickBot="1" x14ac:dyDescent="0.3">
      <c r="A48" s="241"/>
      <c r="B48" s="242"/>
      <c r="C48" s="242"/>
      <c r="D48" s="242"/>
      <c r="E48" s="242"/>
      <c r="F48" s="242"/>
      <c r="G48" s="242"/>
      <c r="H48" s="242"/>
      <c r="I48" s="242"/>
      <c r="J48" s="242"/>
      <c r="K48" s="243"/>
    </row>
    <row r="49" spans="1:11" ht="15.75" hidden="1" thickBot="1" x14ac:dyDescent="0.3">
      <c r="A49" s="244"/>
      <c r="B49" s="245"/>
      <c r="C49" s="245"/>
      <c r="D49" s="245"/>
      <c r="E49" s="245"/>
      <c r="F49" s="245"/>
      <c r="G49" s="245"/>
      <c r="H49" s="245"/>
      <c r="I49" s="245"/>
      <c r="J49" s="245"/>
      <c r="K49" s="246"/>
    </row>
    <row r="50" spans="1:11" ht="16.5" customHeight="1" x14ac:dyDescent="0.25">
      <c r="A50" s="235" t="s">
        <v>120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7"/>
    </row>
    <row r="51" spans="1:11" ht="16.5" customHeight="1" thickBot="1" x14ac:dyDescent="0.3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40"/>
    </row>
    <row r="52" spans="1:11" ht="38.25" customHeight="1" thickBot="1" x14ac:dyDescent="0.3">
      <c r="A52" s="212" t="s">
        <v>126</v>
      </c>
      <c r="B52" s="213"/>
      <c r="C52" s="213"/>
      <c r="D52" s="213"/>
      <c r="E52" s="213"/>
      <c r="F52" s="213"/>
      <c r="G52" s="213"/>
      <c r="H52" s="213"/>
      <c r="I52" s="213"/>
      <c r="J52" s="213"/>
      <c r="K52" s="214"/>
    </row>
    <row r="53" spans="1:11" x14ac:dyDescent="0.25">
      <c r="A53" s="93" t="s">
        <v>22</v>
      </c>
      <c r="B53" s="94"/>
      <c r="C53" s="95"/>
      <c r="D53" s="95"/>
      <c r="E53" s="95"/>
      <c r="F53" s="95"/>
      <c r="G53" s="95"/>
      <c r="H53" s="95"/>
      <c r="I53" s="95"/>
      <c r="J53" s="95"/>
      <c r="K53" s="96"/>
    </row>
    <row r="54" spans="1:11" ht="15.75" x14ac:dyDescent="0.25">
      <c r="A54" s="75" t="s">
        <v>137</v>
      </c>
      <c r="K54" s="17"/>
    </row>
    <row r="55" spans="1:11" x14ac:dyDescent="0.25">
      <c r="A55" s="126" t="s">
        <v>138</v>
      </c>
      <c r="B55" s="10"/>
      <c r="C55" s="10"/>
      <c r="D55" s="10"/>
      <c r="E55" s="10"/>
      <c r="K55" s="17"/>
    </row>
    <row r="56" spans="1:11" ht="15.75" thickBot="1" x14ac:dyDescent="0.3">
      <c r="A56" s="97" t="s">
        <v>34</v>
      </c>
      <c r="B56" s="98"/>
      <c r="C56" s="98"/>
      <c r="D56" s="98"/>
      <c r="E56" s="98"/>
      <c r="F56" s="20"/>
      <c r="G56" s="20"/>
      <c r="H56" s="20"/>
      <c r="I56" s="20"/>
      <c r="J56" s="20"/>
      <c r="K56" s="21"/>
    </row>
  </sheetData>
  <mergeCells count="26">
    <mergeCell ref="A52:K52"/>
    <mergeCell ref="A38:K40"/>
    <mergeCell ref="A35:K35"/>
    <mergeCell ref="A17:A18"/>
    <mergeCell ref="B17:B18"/>
    <mergeCell ref="F17:G17"/>
    <mergeCell ref="H17:I17"/>
    <mergeCell ref="J17:K17"/>
    <mergeCell ref="D17:E17"/>
    <mergeCell ref="C17:C18"/>
    <mergeCell ref="A50:K51"/>
    <mergeCell ref="A43:K49"/>
    <mergeCell ref="A36:K36"/>
    <mergeCell ref="B11:I11"/>
    <mergeCell ref="B12:I12"/>
    <mergeCell ref="B13:I13"/>
    <mergeCell ref="A6:K7"/>
    <mergeCell ref="B14:I14"/>
    <mergeCell ref="B9:I9"/>
    <mergeCell ref="B10:I10"/>
    <mergeCell ref="A4:B4"/>
    <mergeCell ref="A5:B5"/>
    <mergeCell ref="C4:F4"/>
    <mergeCell ref="C5:F5"/>
    <mergeCell ref="G4:K4"/>
    <mergeCell ref="G5:K5"/>
  </mergeCells>
  <hyperlinks>
    <hyperlink ref="A55" r:id="rId1" xr:uid="{14B6E6A9-3D38-45DC-8C38-61209E34D25B}"/>
  </hyperlinks>
  <printOptions horizontalCentered="1"/>
  <pageMargins left="0.51181102362204722" right="0.51181102362204722" top="0.39370078740157483" bottom="0.39370078740157483" header="0.31496062992125984" footer="0.31496062992125984"/>
  <pageSetup paperSize="9" scale="73" orientation="portrait" r:id="rId2"/>
  <drawing r:id="rId3"/>
  <legacyDrawing r:id="rId4"/>
  <oleObjects>
    <mc:AlternateContent xmlns:mc="http://schemas.openxmlformats.org/markup-compatibility/2006">
      <mc:Choice Requires="x14">
        <oleObject progId="Word.Picture.8" shapeId="3073" r:id="rId5">
          <objectPr defaultSize="0" autoPict="0" r:id="rId6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2</xdr:col>
                <xdr:colOff>504825</xdr:colOff>
                <xdr:row>1</xdr:row>
                <xdr:rowOff>161925</xdr:rowOff>
              </to>
            </anchor>
          </objectPr>
        </oleObject>
      </mc:Choice>
      <mc:Fallback>
        <oleObject progId="Word.Picture.8" shapeId="3073" r:id="rId5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'NÃO EXLUIR'!$K$83:$K$110</xm:f>
          </x14:formula1>
          <xm:sqref>K9:K14</xm:sqref>
        </x14:dataValidation>
        <x14:dataValidation type="list" allowBlank="1" xr:uid="{00000000-0002-0000-0100-000001000000}">
          <x14:formula1>
            <xm:f>'NÃO EXLUIR'!$M$89:$M$93</xm:f>
          </x14:formula1>
          <xm:sqref>A38:K40</xm:sqref>
        </x14:dataValidation>
        <x14:dataValidation type="list" allowBlank="1" xr:uid="{00000000-0002-0000-0100-000002000000}">
          <x14:formula1>
            <xm:f>'NÃO EXLUIR'!$M$83:$M$86</xm:f>
          </x14:formula1>
          <xm:sqref>A43:K49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K31"/>
  <sheetViews>
    <sheetView view="pageBreakPreview" zoomScale="115" zoomScaleNormal="100" zoomScaleSheetLayoutView="115" workbookViewId="0">
      <selection activeCell="C29" sqref="C29"/>
    </sheetView>
  </sheetViews>
  <sheetFormatPr defaultColWidth="9.140625" defaultRowHeight="15" x14ac:dyDescent="0.25"/>
  <cols>
    <col min="1" max="3" width="9.140625" style="5"/>
    <col min="4" max="4" width="10.42578125" style="5" customWidth="1"/>
    <col min="5" max="5" width="9.140625" style="5"/>
    <col min="6" max="6" width="13.42578125" style="5" customWidth="1"/>
    <col min="7" max="7" width="8.28515625" style="5" customWidth="1"/>
    <col min="8" max="8" width="10.42578125" style="5" customWidth="1"/>
    <col min="9" max="9" width="14.28515625" style="5" customWidth="1"/>
    <col min="10" max="12" width="9.140625" style="5"/>
    <col min="13" max="14" width="12.42578125" style="5" bestFit="1" customWidth="1"/>
    <col min="15" max="16384" width="9.140625" style="5"/>
  </cols>
  <sheetData>
    <row r="1" spans="1:11" x14ac:dyDescent="0.25">
      <c r="H1" s="6"/>
    </row>
    <row r="2" spans="1:11" ht="15.75" thickBot="1" x14ac:dyDescent="0.3">
      <c r="A2" s="7"/>
      <c r="B2" s="7"/>
      <c r="C2" s="7"/>
      <c r="D2" s="7"/>
      <c r="E2" s="7"/>
      <c r="F2" s="7"/>
      <c r="G2" s="33"/>
      <c r="H2" s="7"/>
      <c r="I2" s="8" t="s">
        <v>23</v>
      </c>
      <c r="J2" s="9" t="str">
        <f>Cotação!J2</f>
        <v>070/2026</v>
      </c>
      <c r="K2" s="7"/>
    </row>
    <row r="3" spans="1:11" ht="16.5" thickTop="1" thickBot="1" x14ac:dyDescent="0.3"/>
    <row r="4" spans="1:11" s="10" customFormat="1" x14ac:dyDescent="0.25">
      <c r="A4" s="192" t="s">
        <v>0</v>
      </c>
      <c r="B4" s="193"/>
      <c r="C4" s="198" t="s">
        <v>119</v>
      </c>
      <c r="D4" s="198"/>
      <c r="E4" s="198"/>
      <c r="F4" s="198"/>
      <c r="G4" s="192" t="s">
        <v>122</v>
      </c>
      <c r="H4" s="198"/>
      <c r="I4" s="198"/>
      <c r="J4" s="198"/>
      <c r="K4" s="193"/>
    </row>
    <row r="5" spans="1:11" ht="15.75" thickBot="1" x14ac:dyDescent="0.3">
      <c r="A5" s="194" t="str">
        <f>J2</f>
        <v>070/2026</v>
      </c>
      <c r="B5" s="195"/>
      <c r="C5" s="197">
        <f>Cotação!C4</f>
        <v>46185</v>
      </c>
      <c r="D5" s="197"/>
      <c r="E5" s="197"/>
      <c r="F5" s="197"/>
      <c r="G5" s="199">
        <f>Cotação!H4</f>
        <v>46190</v>
      </c>
      <c r="H5" s="197"/>
      <c r="I5" s="197"/>
      <c r="J5" s="197"/>
      <c r="K5" s="200"/>
    </row>
    <row r="6" spans="1:11" x14ac:dyDescent="0.25">
      <c r="E6" s="10" t="s">
        <v>82</v>
      </c>
    </row>
    <row r="7" spans="1:11" x14ac:dyDescent="0.25">
      <c r="A7" s="5" t="s">
        <v>125</v>
      </c>
    </row>
    <row r="8" spans="1:11" ht="15.75" thickBot="1" x14ac:dyDescent="0.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x14ac:dyDescent="0.25">
      <c r="A9" s="253" t="s">
        <v>1</v>
      </c>
      <c r="B9" s="255" t="s">
        <v>24</v>
      </c>
      <c r="C9" s="255" t="s">
        <v>25</v>
      </c>
      <c r="D9" s="257" t="s">
        <v>114</v>
      </c>
      <c r="E9" s="258"/>
      <c r="F9" s="258"/>
      <c r="G9" s="258"/>
      <c r="H9" s="259"/>
      <c r="I9" s="255" t="s">
        <v>105</v>
      </c>
      <c r="J9" s="263" t="s">
        <v>2</v>
      </c>
      <c r="K9" s="264"/>
    </row>
    <row r="10" spans="1:11" x14ac:dyDescent="0.25">
      <c r="A10" s="254"/>
      <c r="B10" s="256"/>
      <c r="C10" s="256"/>
      <c r="D10" s="260"/>
      <c r="E10" s="261"/>
      <c r="F10" s="261"/>
      <c r="G10" s="261"/>
      <c r="H10" s="262"/>
      <c r="I10" s="256"/>
      <c r="J10" s="265" t="s">
        <v>85</v>
      </c>
      <c r="K10" s="266"/>
    </row>
    <row r="11" spans="1:11" x14ac:dyDescent="0.25">
      <c r="A11" s="39">
        <v>1</v>
      </c>
      <c r="B11" s="66" t="str">
        <f>IF(Cotação!B8="","",Cotação!B8)</f>
        <v/>
      </c>
      <c r="C11" s="56" t="str">
        <f>IF(Cotação!C8="","",Cotação!C8)</f>
        <v/>
      </c>
      <c r="D11" s="250" t="str">
        <f>IF(Cotação!D8="","",Cotação!D8)</f>
        <v/>
      </c>
      <c r="E11" s="251"/>
      <c r="F11" s="251"/>
      <c r="G11" s="251"/>
      <c r="H11" s="252"/>
      <c r="I11" s="54"/>
      <c r="J11" s="267" t="str">
        <f>IF('NÃO EXLUIR'!$N$96=TRUE,Comparativo!E19,IF('NÃO EXLUIR'!$N$97=TRUE,Comparativo!G19,IF('NÃO EXLUIR'!$N$98=TRUE,Comparativo!I19,IF('NÃO EXLUIR'!$N$99=TRUE,Comparativo!K19,IF('NÃO EXLUIR'!$N$101=TRUE,Comparativo!E19,IF('NÃO EXLUIR'!$N$102=TRUE,Comparativo!G19,IF('NÃO EXLUIR'!$N$103=TRUE,Comparativo!I19,IF('NÃO EXLUIR'!$N$104=TRUE,Comparativo!K19,IF('NÃO EXLUIR'!$N$106=TRUE,Comparativo!E19,IF('NÃO EXLUIR'!$N$107=TRUE,Comparativo!G19,IF('NÃO EXLUIR'!$N$108=TRUE,Comparativo!I19,IF('NÃO EXLUIR'!$N$109=TRUE,Comparativo!K19,""))))))))))))</f>
        <v/>
      </c>
      <c r="K11" s="268"/>
    </row>
    <row r="12" spans="1:11" x14ac:dyDescent="0.25">
      <c r="A12" s="11">
        <v>2</v>
      </c>
      <c r="B12" s="66" t="str">
        <f>IF(Cotação!B9="","",Cotação!B9)</f>
        <v/>
      </c>
      <c r="C12" s="56" t="str">
        <f>IF(Cotação!C9="","",Cotação!C9)</f>
        <v/>
      </c>
      <c r="D12" s="250" t="str">
        <f>IF(Cotação!D9="","",Cotação!D9)</f>
        <v/>
      </c>
      <c r="E12" s="251"/>
      <c r="F12" s="251"/>
      <c r="G12" s="251"/>
      <c r="H12" s="252"/>
      <c r="I12" s="12"/>
      <c r="J12" s="267" t="str">
        <f>IF('NÃO EXLUIR'!$N$96=TRUE,Comparativo!E20,IF('NÃO EXLUIR'!$N$97=TRUE,Comparativo!G20,IF('NÃO EXLUIR'!$N$98=TRUE,Comparativo!I20,IF('NÃO EXLUIR'!$N$99=TRUE,Comparativo!K20,IF('NÃO EXLUIR'!$N$101=TRUE,Comparativo!E20,IF('NÃO EXLUIR'!$N$102=TRUE,Comparativo!G20,IF('NÃO EXLUIR'!$N$103=TRUE,Comparativo!I20,IF('NÃO EXLUIR'!$N$104=TRUE,Comparativo!K20,IF('NÃO EXLUIR'!$N$106=TRUE,Comparativo!E20,IF('NÃO EXLUIR'!$N$107=TRUE,Comparativo!G20,IF('NÃO EXLUIR'!$N$108=TRUE,Comparativo!I20,IF('NÃO EXLUIR'!$N$109=TRUE,Comparativo!K20,""))))))))))))</f>
        <v/>
      </c>
      <c r="K12" s="268"/>
    </row>
    <row r="13" spans="1:11" x14ac:dyDescent="0.25">
      <c r="A13" s="11">
        <v>3</v>
      </c>
      <c r="B13" s="66" t="str">
        <f>IF(Cotação!B10="","",Cotação!B10)</f>
        <v/>
      </c>
      <c r="C13" s="56" t="str">
        <f>IF(Cotação!C10="","",Cotação!C10)</f>
        <v/>
      </c>
      <c r="D13" s="250" t="str">
        <f>IF(Cotação!D10="","",Cotação!D10)</f>
        <v/>
      </c>
      <c r="E13" s="251"/>
      <c r="F13" s="251"/>
      <c r="G13" s="251"/>
      <c r="H13" s="252"/>
      <c r="I13" s="12"/>
      <c r="J13" s="267" t="str">
        <f>IF('NÃO EXLUIR'!$N$96=TRUE,Comparativo!E21,IF('NÃO EXLUIR'!$N$97=TRUE,Comparativo!G21,IF('NÃO EXLUIR'!$N$98=TRUE,Comparativo!I21,IF('NÃO EXLUIR'!$N$99=TRUE,Comparativo!K21,IF('NÃO EXLUIR'!$N$101=TRUE,Comparativo!E21,IF('NÃO EXLUIR'!$N$102=TRUE,Comparativo!G21,IF('NÃO EXLUIR'!$N$103=TRUE,Comparativo!I21,IF('NÃO EXLUIR'!$N$104=TRUE,Comparativo!K21,IF('NÃO EXLUIR'!$N$106=TRUE,Comparativo!E21,IF('NÃO EXLUIR'!$N$107=TRUE,Comparativo!G21,IF('NÃO EXLUIR'!$N$108=TRUE,Comparativo!I21,IF('NÃO EXLUIR'!$N$109=TRUE,Comparativo!K21,""))))))))))))</f>
        <v/>
      </c>
      <c r="K13" s="268"/>
    </row>
    <row r="14" spans="1:11" x14ac:dyDescent="0.25">
      <c r="A14" s="11">
        <v>4</v>
      </c>
      <c r="B14" s="66" t="str">
        <f>IF(Cotação!B11="","",Cotação!B11)</f>
        <v/>
      </c>
      <c r="C14" s="56" t="str">
        <f>IF(Cotação!C11="","",Cotação!C11)</f>
        <v/>
      </c>
      <c r="D14" s="250" t="str">
        <f>IF(Cotação!D11="","",Cotação!D11)</f>
        <v/>
      </c>
      <c r="E14" s="251"/>
      <c r="F14" s="251"/>
      <c r="G14" s="251"/>
      <c r="H14" s="252"/>
      <c r="I14" s="12"/>
      <c r="J14" s="267" t="str">
        <f>IF('NÃO EXLUIR'!$N$96=TRUE,Comparativo!E22,IF('NÃO EXLUIR'!$N$97=TRUE,Comparativo!G22,IF('NÃO EXLUIR'!$N$98=TRUE,Comparativo!I22,IF('NÃO EXLUIR'!$N$99=TRUE,Comparativo!K22,IF('NÃO EXLUIR'!$N$101=TRUE,Comparativo!E22,IF('NÃO EXLUIR'!$N$102=TRUE,Comparativo!G22,IF('NÃO EXLUIR'!$N$103=TRUE,Comparativo!I22,IF('NÃO EXLUIR'!$N$104=TRUE,Comparativo!K22,IF('NÃO EXLUIR'!$N$106=TRUE,Comparativo!E22,IF('NÃO EXLUIR'!$N$107=TRUE,Comparativo!G22,IF('NÃO EXLUIR'!$N$108=TRUE,Comparativo!I22,IF('NÃO EXLUIR'!$N$109=TRUE,Comparativo!K22,""))))))))))))</f>
        <v/>
      </c>
      <c r="K14" s="268"/>
    </row>
    <row r="15" spans="1:11" x14ac:dyDescent="0.25">
      <c r="A15" s="11">
        <v>5</v>
      </c>
      <c r="B15" s="66" t="str">
        <f>IF(Cotação!B12="","",Cotação!B12)</f>
        <v/>
      </c>
      <c r="C15" s="56" t="str">
        <f>IF(Cotação!C12="","",Cotação!C12)</f>
        <v/>
      </c>
      <c r="D15" s="250" t="str">
        <f>IF(Cotação!D12="","",Cotação!D12)</f>
        <v/>
      </c>
      <c r="E15" s="251"/>
      <c r="F15" s="251"/>
      <c r="G15" s="251"/>
      <c r="H15" s="252"/>
      <c r="I15" s="12"/>
      <c r="J15" s="267" t="str">
        <f>IF('NÃO EXLUIR'!$N$96=TRUE,Comparativo!E23,IF('NÃO EXLUIR'!$N$97=TRUE,Comparativo!G23,IF('NÃO EXLUIR'!$N$98=TRUE,Comparativo!I23,IF('NÃO EXLUIR'!$N$99=TRUE,Comparativo!K23,IF('NÃO EXLUIR'!$N$101=TRUE,Comparativo!E23,IF('NÃO EXLUIR'!$N$102=TRUE,Comparativo!G23,IF('NÃO EXLUIR'!$N$103=TRUE,Comparativo!I23,IF('NÃO EXLUIR'!$N$104=TRUE,Comparativo!K23,IF('NÃO EXLUIR'!$N$106=TRUE,Comparativo!E23,IF('NÃO EXLUIR'!$N$107=TRUE,Comparativo!G23,IF('NÃO EXLUIR'!$N$108=TRUE,Comparativo!I23,IF('NÃO EXLUIR'!$N$109=TRUE,Comparativo!K23,""))))))))))))</f>
        <v/>
      </c>
      <c r="K15" s="268"/>
    </row>
    <row r="16" spans="1:11" x14ac:dyDescent="0.25">
      <c r="A16" s="11">
        <v>6</v>
      </c>
      <c r="B16" s="66" t="str">
        <f>IF(Cotação!B13="","",Cotação!B13)</f>
        <v/>
      </c>
      <c r="C16" s="56" t="str">
        <f>IF(Cotação!C13="","",Cotação!C13)</f>
        <v/>
      </c>
      <c r="D16" s="250" t="str">
        <f>IF(Cotação!D13="","",Cotação!D13)</f>
        <v/>
      </c>
      <c r="E16" s="251"/>
      <c r="F16" s="251"/>
      <c r="G16" s="251"/>
      <c r="H16" s="252"/>
      <c r="I16" s="12"/>
      <c r="J16" s="267" t="str">
        <f>IF('NÃO EXLUIR'!$N$96=TRUE,Comparativo!E24,IF('NÃO EXLUIR'!$N$97=TRUE,Comparativo!G24,IF('NÃO EXLUIR'!$N$98=TRUE,Comparativo!I24,IF('NÃO EXLUIR'!$N$99=TRUE,Comparativo!K24,IF('NÃO EXLUIR'!$N$101=TRUE,Comparativo!E24,IF('NÃO EXLUIR'!$N$102=TRUE,Comparativo!G24,IF('NÃO EXLUIR'!$N$103=TRUE,Comparativo!I24,IF('NÃO EXLUIR'!$N$104=TRUE,Comparativo!K24,IF('NÃO EXLUIR'!$N$106=TRUE,Comparativo!E24,IF('NÃO EXLUIR'!$N$107=TRUE,Comparativo!G24,IF('NÃO EXLUIR'!$N$108=TRUE,Comparativo!I24,IF('NÃO EXLUIR'!$N$109=TRUE,Comparativo!K24,""))))))))))))</f>
        <v/>
      </c>
      <c r="K16" s="268"/>
    </row>
    <row r="17" spans="1:11" x14ac:dyDescent="0.25">
      <c r="A17" s="11">
        <v>7</v>
      </c>
      <c r="B17" s="66" t="str">
        <f>IF(Cotação!B14="","",Cotação!B14)</f>
        <v/>
      </c>
      <c r="C17" s="56" t="str">
        <f>IF(Cotação!C14="","",Cotação!C14)</f>
        <v/>
      </c>
      <c r="D17" s="250" t="str">
        <f>IF(Cotação!D14="","",Cotação!D14)</f>
        <v/>
      </c>
      <c r="E17" s="251"/>
      <c r="F17" s="251"/>
      <c r="G17" s="251"/>
      <c r="H17" s="252"/>
      <c r="I17" s="12"/>
      <c r="J17" s="267" t="str">
        <f>IF('NÃO EXLUIR'!$N$96=TRUE,Comparativo!E25,IF('NÃO EXLUIR'!$N$97=TRUE,Comparativo!G25,IF('NÃO EXLUIR'!$N$98=TRUE,Comparativo!I25,IF('NÃO EXLUIR'!$N$99=TRUE,Comparativo!K25,IF('NÃO EXLUIR'!$N$101=TRUE,Comparativo!E25,IF('NÃO EXLUIR'!$N$102=TRUE,Comparativo!G25,IF('NÃO EXLUIR'!$N$103=TRUE,Comparativo!I25,IF('NÃO EXLUIR'!$N$104=TRUE,Comparativo!K25,IF('NÃO EXLUIR'!$N$106=TRUE,Comparativo!E25,IF('NÃO EXLUIR'!$N$107=TRUE,Comparativo!G25,IF('NÃO EXLUIR'!$N$108=TRUE,Comparativo!I25,IF('NÃO EXLUIR'!$N$109=TRUE,Comparativo!K25,""))))))))))))</f>
        <v/>
      </c>
      <c r="K17" s="268"/>
    </row>
    <row r="18" spans="1:11" x14ac:dyDescent="0.25">
      <c r="A18" s="11">
        <v>8</v>
      </c>
      <c r="B18" s="66" t="str">
        <f>IF(Cotação!B15="","",Cotação!B15)</f>
        <v/>
      </c>
      <c r="C18" s="56" t="str">
        <f>IF(Cotação!C15="","",Cotação!C15)</f>
        <v/>
      </c>
      <c r="D18" s="250" t="str">
        <f>IF(Cotação!D15="","",Cotação!D15)</f>
        <v/>
      </c>
      <c r="E18" s="251"/>
      <c r="F18" s="251"/>
      <c r="G18" s="251"/>
      <c r="H18" s="252"/>
      <c r="I18" s="12"/>
      <c r="J18" s="267" t="str">
        <f>IF('NÃO EXLUIR'!$N$96=TRUE,Comparativo!E26,IF('NÃO EXLUIR'!$N$97=TRUE,Comparativo!G26,IF('NÃO EXLUIR'!$N$98=TRUE,Comparativo!I26,IF('NÃO EXLUIR'!$N$99=TRUE,Comparativo!K26,IF('NÃO EXLUIR'!$N$101=TRUE,Comparativo!E26,IF('NÃO EXLUIR'!$N$102=TRUE,Comparativo!G26,IF('NÃO EXLUIR'!$N$103=TRUE,Comparativo!I26,IF('NÃO EXLUIR'!$N$104=TRUE,Comparativo!K26,IF('NÃO EXLUIR'!$N$106=TRUE,Comparativo!E26,IF('NÃO EXLUIR'!$N$107=TRUE,Comparativo!G26,IF('NÃO EXLUIR'!$N$108=TRUE,Comparativo!I26,IF('NÃO EXLUIR'!$N$109=TRUE,Comparativo!K26,""))))))))))))</f>
        <v/>
      </c>
      <c r="K18" s="268"/>
    </row>
    <row r="19" spans="1:11" x14ac:dyDescent="0.25">
      <c r="A19" s="11">
        <v>9</v>
      </c>
      <c r="B19" s="66" t="str">
        <f>IF(Cotação!B16="","",Cotação!B16)</f>
        <v/>
      </c>
      <c r="C19" s="56" t="str">
        <f>IF(Cotação!C16="","",Cotação!C16)</f>
        <v/>
      </c>
      <c r="D19" s="250" t="str">
        <f>IF(Cotação!D16="","",Cotação!D16)</f>
        <v/>
      </c>
      <c r="E19" s="251"/>
      <c r="F19" s="251"/>
      <c r="G19" s="251"/>
      <c r="H19" s="252"/>
      <c r="I19" s="12"/>
      <c r="J19" s="267" t="str">
        <f>IF('NÃO EXLUIR'!$N$96=TRUE,Comparativo!E27,IF('NÃO EXLUIR'!$N$97=TRUE,Comparativo!G27,IF('NÃO EXLUIR'!$N$98=TRUE,Comparativo!I27,IF('NÃO EXLUIR'!$N$99=TRUE,Comparativo!K27,IF('NÃO EXLUIR'!$N$101=TRUE,Comparativo!E27,IF('NÃO EXLUIR'!$N$102=TRUE,Comparativo!G27,IF('NÃO EXLUIR'!$N$103=TRUE,Comparativo!I27,IF('NÃO EXLUIR'!$N$104=TRUE,Comparativo!K27,IF('NÃO EXLUIR'!$N$106=TRUE,Comparativo!E27,IF('NÃO EXLUIR'!$N$107=TRUE,Comparativo!G27,IF('NÃO EXLUIR'!$N$108=TRUE,Comparativo!I27,IF('NÃO EXLUIR'!$N$109=TRUE,Comparativo!K27,""))))))))))))</f>
        <v/>
      </c>
      <c r="K19" s="268"/>
    </row>
    <row r="20" spans="1:11" x14ac:dyDescent="0.25">
      <c r="A20" s="11">
        <v>10</v>
      </c>
      <c r="B20" s="66" t="str">
        <f>IF(Cotação!B17="","",Cotação!B17)</f>
        <v/>
      </c>
      <c r="C20" s="56" t="str">
        <f>IF(Cotação!C17="","",Cotação!C17)</f>
        <v/>
      </c>
      <c r="D20" s="250" t="str">
        <f>IF(Cotação!D17="","",Cotação!D17)</f>
        <v/>
      </c>
      <c r="E20" s="251"/>
      <c r="F20" s="251"/>
      <c r="G20" s="251"/>
      <c r="H20" s="252"/>
      <c r="I20" s="12"/>
      <c r="J20" s="267" t="str">
        <f>IF('NÃO EXLUIR'!$N$96=TRUE,Comparativo!E28,IF('NÃO EXLUIR'!$N$97=TRUE,Comparativo!G28,IF('NÃO EXLUIR'!$N$98=TRUE,Comparativo!I28,IF('NÃO EXLUIR'!$N$99=TRUE,Comparativo!K28,IF('NÃO EXLUIR'!$N$101=TRUE,Comparativo!E28,IF('NÃO EXLUIR'!$N$102=TRUE,Comparativo!G28,IF('NÃO EXLUIR'!$N$103=TRUE,Comparativo!I28,IF('NÃO EXLUIR'!$N$104=TRUE,Comparativo!K28,IF('NÃO EXLUIR'!$N$106=TRUE,Comparativo!E28,IF('NÃO EXLUIR'!$N$107=TRUE,Comparativo!G28,IF('NÃO EXLUIR'!$N$108=TRUE,Comparativo!I28,IF('NÃO EXLUIR'!$N$109=TRUE,Comparativo!K28,""))))))))))))</f>
        <v/>
      </c>
      <c r="K20" s="268"/>
    </row>
    <row r="21" spans="1:11" x14ac:dyDescent="0.25">
      <c r="A21" s="11">
        <v>11</v>
      </c>
      <c r="B21" s="66" t="str">
        <f>IF(Cotação!B18="","",Cotação!B18)</f>
        <v/>
      </c>
      <c r="C21" s="56" t="str">
        <f>IF(Cotação!C18="","",Cotação!C18)</f>
        <v/>
      </c>
      <c r="D21" s="250" t="str">
        <f>IF(Cotação!D18="","",Cotação!D18)</f>
        <v/>
      </c>
      <c r="E21" s="251"/>
      <c r="F21" s="251"/>
      <c r="G21" s="251"/>
      <c r="H21" s="252"/>
      <c r="I21" s="12"/>
      <c r="J21" s="267" t="str">
        <f>IF('NÃO EXLUIR'!$N$96=TRUE,Comparativo!E29,IF('NÃO EXLUIR'!$N$97=TRUE,Comparativo!G29,IF('NÃO EXLUIR'!$N$98=TRUE,Comparativo!I29,IF('NÃO EXLUIR'!$N$99=TRUE,Comparativo!K29,IF('NÃO EXLUIR'!$N$101=TRUE,Comparativo!E29,IF('NÃO EXLUIR'!$N$102=TRUE,Comparativo!G29,IF('NÃO EXLUIR'!$N$103=TRUE,Comparativo!I29,IF('NÃO EXLUIR'!$N$104=TRUE,Comparativo!K29,IF('NÃO EXLUIR'!$N$106=TRUE,Comparativo!E29,IF('NÃO EXLUIR'!$N$107=TRUE,Comparativo!G29,IF('NÃO EXLUIR'!$N$108=TRUE,Comparativo!I29,IF('NÃO EXLUIR'!$N$109=TRUE,Comparativo!K29,""))))))))))))</f>
        <v/>
      </c>
      <c r="K21" s="268"/>
    </row>
    <row r="22" spans="1:11" x14ac:dyDescent="0.25">
      <c r="A22" s="11">
        <v>12</v>
      </c>
      <c r="B22" s="66" t="str">
        <f>IF(Cotação!B19="","",Cotação!B19)</f>
        <v/>
      </c>
      <c r="C22" s="56" t="str">
        <f>IF(Cotação!C19="","",Cotação!C19)</f>
        <v/>
      </c>
      <c r="D22" s="250" t="str">
        <f>IF(Cotação!D19="","",Cotação!D19)</f>
        <v/>
      </c>
      <c r="E22" s="251"/>
      <c r="F22" s="251"/>
      <c r="G22" s="251"/>
      <c r="H22" s="252"/>
      <c r="I22" s="12"/>
      <c r="J22" s="267" t="str">
        <f>IF('NÃO EXLUIR'!$N$96=TRUE,Comparativo!E30,IF('NÃO EXLUIR'!$N$97=TRUE,Comparativo!G30,IF('NÃO EXLUIR'!$N$98=TRUE,Comparativo!I30,IF('NÃO EXLUIR'!$N$99=TRUE,Comparativo!K30,IF('NÃO EXLUIR'!$N$101=TRUE,Comparativo!E30,IF('NÃO EXLUIR'!$N$102=TRUE,Comparativo!G30,IF('NÃO EXLUIR'!$N$103=TRUE,Comparativo!I30,IF('NÃO EXLUIR'!$N$104=TRUE,Comparativo!K30,IF('NÃO EXLUIR'!$N$106=TRUE,Comparativo!E30,IF('NÃO EXLUIR'!$N$107=TRUE,Comparativo!G30,IF('NÃO EXLUIR'!$N$108=TRUE,Comparativo!I30,IF('NÃO EXLUIR'!$N$109=TRUE,Comparativo!K30,""))))))))))))</f>
        <v/>
      </c>
      <c r="K22" s="268"/>
    </row>
    <row r="23" spans="1:11" x14ac:dyDescent="0.25">
      <c r="A23" s="11">
        <v>13</v>
      </c>
      <c r="B23" s="66" t="str">
        <f>IF(Cotação!B20="","",Cotação!B20)</f>
        <v/>
      </c>
      <c r="C23" s="56" t="str">
        <f>IF(Cotação!C20="","",Cotação!C20)</f>
        <v/>
      </c>
      <c r="D23" s="250" t="str">
        <f>IF(Cotação!D20="","",Cotação!D20)</f>
        <v/>
      </c>
      <c r="E23" s="251"/>
      <c r="F23" s="251"/>
      <c r="G23" s="251"/>
      <c r="H23" s="252"/>
      <c r="I23" s="12"/>
      <c r="J23" s="267" t="str">
        <f>IF('NÃO EXLUIR'!$N$96=TRUE,Comparativo!E31,IF('NÃO EXLUIR'!$N$97=TRUE,Comparativo!G31,IF('NÃO EXLUIR'!$N$98=TRUE,Comparativo!I31,IF('NÃO EXLUIR'!$N$99=TRUE,Comparativo!K31,IF('NÃO EXLUIR'!$N$101=TRUE,Comparativo!E31,IF('NÃO EXLUIR'!$N$102=TRUE,Comparativo!G31,IF('NÃO EXLUIR'!$N$103=TRUE,Comparativo!I31,IF('NÃO EXLUIR'!$N$104=TRUE,Comparativo!K31,IF('NÃO EXLUIR'!$N$106=TRUE,Comparativo!E31,IF('NÃO EXLUIR'!$N$107=TRUE,Comparativo!G31,IF('NÃO EXLUIR'!$N$108=TRUE,Comparativo!I31,IF('NÃO EXLUIR'!$N$109=TRUE,Comparativo!K31,""))))))))))))</f>
        <v/>
      </c>
      <c r="K23" s="268"/>
    </row>
    <row r="24" spans="1:11" x14ac:dyDescent="0.25">
      <c r="A24" s="11">
        <v>14</v>
      </c>
      <c r="B24" s="66" t="str">
        <f>IF(Cotação!B21="","",Cotação!B21)</f>
        <v/>
      </c>
      <c r="C24" s="56" t="str">
        <f>IF(Cotação!C21="","",Cotação!C21)</f>
        <v/>
      </c>
      <c r="D24" s="250" t="str">
        <f>IF(Cotação!D21="","",Cotação!D21)</f>
        <v/>
      </c>
      <c r="E24" s="251"/>
      <c r="F24" s="251"/>
      <c r="G24" s="251"/>
      <c r="H24" s="252"/>
      <c r="I24" s="12"/>
      <c r="J24" s="267" t="str">
        <f>IF('NÃO EXLUIR'!$N$96=TRUE,Comparativo!E32,IF('NÃO EXLUIR'!$N$97=TRUE,Comparativo!G32,IF('NÃO EXLUIR'!$N$98=TRUE,Comparativo!I32,IF('NÃO EXLUIR'!$N$99=TRUE,Comparativo!K32,IF('NÃO EXLUIR'!$N$101=TRUE,Comparativo!E32,IF('NÃO EXLUIR'!$N$102=TRUE,Comparativo!G32,IF('NÃO EXLUIR'!$N$103=TRUE,Comparativo!I32,IF('NÃO EXLUIR'!$N$104=TRUE,Comparativo!K32,IF('NÃO EXLUIR'!$N$106=TRUE,Comparativo!E32,IF('NÃO EXLUIR'!$N$107=TRUE,Comparativo!G32,IF('NÃO EXLUIR'!$N$108=TRUE,Comparativo!I32,IF('NÃO EXLUIR'!$N$109=TRUE,Comparativo!K32,""))))))))))))</f>
        <v/>
      </c>
      <c r="K24" s="268"/>
    </row>
    <row r="25" spans="1:11" x14ac:dyDescent="0.25">
      <c r="A25" s="11">
        <v>15</v>
      </c>
      <c r="B25" s="66" t="str">
        <f>IF(Cotação!B22="","",Cotação!B22)</f>
        <v/>
      </c>
      <c r="C25" s="56" t="str">
        <f>IF(Cotação!C22="","",Cotação!C22)</f>
        <v/>
      </c>
      <c r="D25" s="250" t="str">
        <f>IF(Cotação!D22="","",Cotação!D22)</f>
        <v/>
      </c>
      <c r="E25" s="251"/>
      <c r="F25" s="251"/>
      <c r="G25" s="251"/>
      <c r="H25" s="252"/>
      <c r="I25" s="12"/>
      <c r="J25" s="267" t="str">
        <f>IF('NÃO EXLUIR'!$N$96=TRUE,Comparativo!E33,IF('NÃO EXLUIR'!$N$97=TRUE,Comparativo!G33,IF('NÃO EXLUIR'!$N$98=TRUE,Comparativo!I33,IF('NÃO EXLUIR'!$N$99=TRUE,Comparativo!K33,IF('NÃO EXLUIR'!$N$101=TRUE,Comparativo!E33,IF('NÃO EXLUIR'!$N$102=TRUE,Comparativo!G33,IF('NÃO EXLUIR'!$N$103=TRUE,Comparativo!I33,IF('NÃO EXLUIR'!$N$104=TRUE,Comparativo!K33,IF('NÃO EXLUIR'!$N$106=TRUE,Comparativo!E33,IF('NÃO EXLUIR'!$N$107=TRUE,Comparativo!G33,IF('NÃO EXLUIR'!$N$108=TRUE,Comparativo!I33,IF('NÃO EXLUIR'!$N$109=TRUE,Comparativo!K33,""))))))))))))</f>
        <v/>
      </c>
      <c r="K25" s="268"/>
    </row>
    <row r="26" spans="1:11" x14ac:dyDescent="0.25">
      <c r="A26" s="6"/>
      <c r="D26" s="13"/>
      <c r="E26" s="13"/>
      <c r="F26" s="13"/>
      <c r="G26" s="13"/>
      <c r="H26" s="13"/>
    </row>
    <row r="28" spans="1:11" x14ac:dyDescent="0.25">
      <c r="A28" s="10" t="s">
        <v>22</v>
      </c>
      <c r="B28" s="10"/>
    </row>
    <row r="29" spans="1:11" ht="15.75" x14ac:dyDescent="0.25">
      <c r="A29" s="75" t="s">
        <v>137</v>
      </c>
      <c r="B29" s="75"/>
      <c r="C29" s="75"/>
      <c r="D29" s="75"/>
      <c r="E29" s="75"/>
    </row>
    <row r="30" spans="1:11" ht="15.75" x14ac:dyDescent="0.25">
      <c r="A30" s="126" t="s">
        <v>138</v>
      </c>
      <c r="B30" s="75"/>
      <c r="C30" s="75"/>
      <c r="D30" s="75"/>
      <c r="E30" s="75"/>
    </row>
    <row r="31" spans="1:11" ht="15" customHeight="1" x14ac:dyDescent="0.25">
      <c r="A31" s="75" t="s">
        <v>34</v>
      </c>
      <c r="B31" s="75"/>
      <c r="C31" s="75"/>
      <c r="D31" s="75"/>
      <c r="E31" s="75"/>
    </row>
  </sheetData>
  <mergeCells count="43">
    <mergeCell ref="J23:K23"/>
    <mergeCell ref="J24:K24"/>
    <mergeCell ref="J25:K25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I9:I10"/>
    <mergeCell ref="J9:K9"/>
    <mergeCell ref="J10:K10"/>
    <mergeCell ref="J11:K11"/>
    <mergeCell ref="J12:K12"/>
    <mergeCell ref="D16:H16"/>
    <mergeCell ref="A9:A10"/>
    <mergeCell ref="B9:B10"/>
    <mergeCell ref="C9:C10"/>
    <mergeCell ref="D9:H10"/>
    <mergeCell ref="D11:H11"/>
    <mergeCell ref="D12:H12"/>
    <mergeCell ref="D13:H13"/>
    <mergeCell ref="D14:H14"/>
    <mergeCell ref="D15:H15"/>
    <mergeCell ref="D23:H23"/>
    <mergeCell ref="D24:H24"/>
    <mergeCell ref="D25:H25"/>
    <mergeCell ref="D17:H17"/>
    <mergeCell ref="D18:H18"/>
    <mergeCell ref="D19:H19"/>
    <mergeCell ref="D20:H20"/>
    <mergeCell ref="D21:H21"/>
    <mergeCell ref="D22:H22"/>
    <mergeCell ref="A4:B4"/>
    <mergeCell ref="A5:B5"/>
    <mergeCell ref="C5:F5"/>
    <mergeCell ref="G4:K4"/>
    <mergeCell ref="G5:K5"/>
    <mergeCell ref="C4:F4"/>
  </mergeCells>
  <hyperlinks>
    <hyperlink ref="A30" r:id="rId1" xr:uid="{C1C1A988-CAD6-42C7-932E-F6A510B8A41A}"/>
  </hyperlinks>
  <pageMargins left="0.511811024" right="0.511811024" top="0.78740157499999996" bottom="0.78740157499999996" header="0.31496062000000002" footer="0.31496062000000002"/>
  <pageSetup paperSize="9" scale="82" orientation="portrait" r:id="rId2"/>
  <drawing r:id="rId3"/>
  <legacyDrawing r:id="rId4"/>
  <oleObjects>
    <mc:AlternateContent xmlns:mc="http://schemas.openxmlformats.org/markup-compatibility/2006">
      <mc:Choice Requires="x14">
        <oleObject progId="Word.Picture.8" shapeId="5121" r:id="rId5">
          <objectPr defaultSize="0" autoPict="0" r:id="rId6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3</xdr:col>
                <xdr:colOff>38100</xdr:colOff>
                <xdr:row>1</xdr:row>
                <xdr:rowOff>161925</xdr:rowOff>
              </to>
            </anchor>
          </objectPr>
        </oleObject>
      </mc:Choice>
      <mc:Fallback>
        <oleObject progId="Word.Picture.8" shapeId="5121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N110"/>
  <sheetViews>
    <sheetView topLeftCell="A73" workbookViewId="0">
      <selection activeCell="I92" sqref="I92"/>
    </sheetView>
  </sheetViews>
  <sheetFormatPr defaultColWidth="9.140625" defaultRowHeight="13.5" customHeight="1" x14ac:dyDescent="0.25"/>
  <cols>
    <col min="1" max="5" width="9.140625" style="1"/>
    <col min="6" max="6" width="54.85546875" style="1" customWidth="1"/>
    <col min="7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34" t="s">
        <v>86</v>
      </c>
      <c r="C1" s="34"/>
      <c r="D1" s="34"/>
      <c r="E1" s="34"/>
      <c r="F1" s="34"/>
      <c r="G1" s="34"/>
      <c r="H1" s="34"/>
      <c r="I1" s="34"/>
      <c r="J1" s="34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29</v>
      </c>
      <c r="B83" s="2"/>
      <c r="C83" s="2"/>
      <c r="D83" s="2" t="s">
        <v>29</v>
      </c>
      <c r="F83" s="1" t="s">
        <v>29</v>
      </c>
      <c r="H83" s="1" t="s">
        <v>29</v>
      </c>
      <c r="K83" s="1" t="s">
        <v>29</v>
      </c>
      <c r="M83" s="1" t="s">
        <v>29</v>
      </c>
    </row>
    <row r="84" spans="1:14" ht="13.5" customHeight="1" x14ac:dyDescent="0.25">
      <c r="A84" s="1" t="s">
        <v>26</v>
      </c>
      <c r="D84" s="1" t="s">
        <v>30</v>
      </c>
      <c r="F84" s="1" t="s">
        <v>32</v>
      </c>
      <c r="H84" s="1" t="s">
        <v>35</v>
      </c>
      <c r="K84" s="3" t="s">
        <v>54</v>
      </c>
      <c r="M84" s="1" t="s">
        <v>87</v>
      </c>
    </row>
    <row r="85" spans="1:14" ht="13.5" customHeight="1" x14ac:dyDescent="0.25">
      <c r="A85" s="1" t="s">
        <v>27</v>
      </c>
      <c r="D85" s="1" t="s">
        <v>31</v>
      </c>
      <c r="F85" s="82" t="s">
        <v>129</v>
      </c>
      <c r="H85" s="1" t="s">
        <v>102</v>
      </c>
      <c r="K85" s="3" t="s">
        <v>55</v>
      </c>
      <c r="M85" s="1" t="s">
        <v>89</v>
      </c>
    </row>
    <row r="86" spans="1:14" ht="13.5" customHeight="1" x14ac:dyDescent="0.25">
      <c r="A86" s="1" t="s">
        <v>28</v>
      </c>
      <c r="F86" s="1" t="s">
        <v>116</v>
      </c>
      <c r="H86" s="1" t="s">
        <v>36</v>
      </c>
      <c r="K86" s="3" t="s">
        <v>56</v>
      </c>
      <c r="M86" s="1" t="s">
        <v>88</v>
      </c>
    </row>
    <row r="87" spans="1:14" ht="13.5" customHeight="1" x14ac:dyDescent="0.25">
      <c r="D87" s="2" t="str">
        <f>IF(Cotação!J5="Materiais:","","SELECIONE")</f>
        <v>SELECIONE</v>
      </c>
      <c r="F87" s="1" t="s">
        <v>117</v>
      </c>
      <c r="H87" s="1" t="s">
        <v>97</v>
      </c>
      <c r="K87" s="3" t="s">
        <v>57</v>
      </c>
    </row>
    <row r="88" spans="1:14" ht="13.5" customHeight="1" x14ac:dyDescent="0.25">
      <c r="D88" s="1" t="str">
        <f>IF(Cotação!J5="Materiais:","","Único ao final")</f>
        <v>Único ao final</v>
      </c>
      <c r="F88" s="1" t="s">
        <v>99</v>
      </c>
      <c r="H88" s="1" t="s">
        <v>133</v>
      </c>
      <c r="K88" s="3" t="s">
        <v>58</v>
      </c>
    </row>
    <row r="89" spans="1:14" ht="13.5" customHeight="1" x14ac:dyDescent="0.25">
      <c r="A89" s="2" t="s">
        <v>29</v>
      </c>
      <c r="D89" s="1" t="str">
        <f>IF(Cotação!J5="Materiais:","","Ao final de cada etapa")</f>
        <v>Ao final de cada etapa</v>
      </c>
      <c r="F89" s="82" t="s">
        <v>118</v>
      </c>
      <c r="H89" s="1" t="s">
        <v>96</v>
      </c>
      <c r="K89" s="3" t="s">
        <v>59</v>
      </c>
      <c r="M89" s="1" t="s">
        <v>29</v>
      </c>
    </row>
    <row r="90" spans="1:14" ht="13.5" customHeight="1" x14ac:dyDescent="0.25">
      <c r="A90" s="1" t="s">
        <v>93</v>
      </c>
      <c r="D90" s="1" t="str">
        <f>IF(Cotação!J5="Materiais:","","De acordo com o cronograma")</f>
        <v>De acordo com o cronograma</v>
      </c>
      <c r="H90" s="1" t="s">
        <v>98</v>
      </c>
      <c r="K90" s="3" t="s">
        <v>60</v>
      </c>
      <c r="M90" s="4" t="str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foi a única a apresentar proposta comercial para o referido objeto, mesmo após reabertura de cotação, no valor total de R$ "&amp;TEXT(SMALL(Comparativo!D34:K34,1),"0.0,00")&amp;", o qual está compatível com o valor estimado pela área requerente.")</f>
        <v/>
      </c>
    </row>
    <row r="91" spans="1:14" ht="13.5" customHeight="1" x14ac:dyDescent="0.25">
      <c r="A91" s="1" t="s">
        <v>90</v>
      </c>
      <c r="H91" s="1" t="s">
        <v>132</v>
      </c>
      <c r="K91" s="3" t="s">
        <v>61</v>
      </c>
      <c r="M91" s="4" t="str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 empresa "&amp;IF(SMALL(Comparativo!D34:K34,2)=Comparativo!E34,Comparativo!B9,IF(SMALL(Comparativo!D34:K34,2)=Comparativo!G34,Comparativo!B10,IF(SMALL(Comparativo!D34:K34,2)=Comparativo!I34,Comparativo!B11,IF(SMALL(Comparativo!D34:K34,2)=Comparativo!K34,Comparativo!B12,""))))&amp;" apresentou a segunda  melhor proposta, no valor total de R$ "&amp;TEXT((SMALL(Comparativo!D34:K34,2)),"0.0,00")&amp;".")</f>
        <v/>
      </c>
    </row>
    <row r="92" spans="1:14" ht="13.5" customHeight="1" x14ac:dyDescent="0.25">
      <c r="H92" s="1" t="s">
        <v>134</v>
      </c>
      <c r="K92" s="3" t="s">
        <v>62</v>
      </c>
      <c r="M92" s="4" t="str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As empresas "&amp;IF(SMALL(Comparativo!D34:K34,2)=Comparativo!E34,Comparativo!B9,IF(SMALL(Comparativo!D34:K34,2)=Comparativo!G34,Comparativo!B10,IF(SMALL(Comparativo!D34:K34,2)=Comparativo!I34,Comparativo!B11,IF(SMALL(Comparativo!D34:K34,2)=Comparativo!K34,Comparativo!B12,""))))&amp;" e "&amp;IF(SMALL(Comparativo!D34:K34,3)=Comparativo!E34,Comparativo!B9,IF(SMALL(Comparativo!D34:K34,3)=Comparativo!G34,Comparativo!B10,IF(SMALL(Comparativo!D34:K34,3)=Comparativo!I34,Comparativo!B11,IF(SMALL(Comparativo!D34:K34,3)=Comparativo!K34,Comparativo!B12,""))))&amp;" apresentaram a segunda e terceira melhor proposta, respectivamente, no valor total de R$ "&amp;TEXT((SMALL(Comparativo!D34:K34,2)),"0.0,00")&amp;" e R$ "&amp;TEXT((SMALL(Comparativo!D34:K34,3)),"0.0,00")&amp;".")</f>
        <v/>
      </c>
    </row>
    <row r="93" spans="1:14" ht="13.5" customHeight="1" x14ac:dyDescent="0.25">
      <c r="K93" s="3" t="s">
        <v>63</v>
      </c>
      <c r="M93" s="1" t="str">
        <f>IF(Cotação!B8="",""," Tal contratação é uma inexigibilidade de licitação por tratar-se de fornecedor exclusivo/inviabilidade de competição, conforme comprovado nos autos do processo, sendo assim,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 foi a única a apresentar proposta comercial para o referido objeto, no valor total de R$ "&amp;TEXT(SMALL(Comparativo!D34:K34,1),"0.0,00")&amp;", o qual está compatível com o valor estimado pela área requerente.")</f>
        <v/>
      </c>
    </row>
    <row r="94" spans="1:14" ht="13.5" customHeight="1" x14ac:dyDescent="0.25">
      <c r="K94" s="3" t="s">
        <v>64</v>
      </c>
    </row>
    <row r="95" spans="1:14" ht="13.5" customHeight="1" x14ac:dyDescent="0.25">
      <c r="K95" s="3" t="s">
        <v>65</v>
      </c>
    </row>
    <row r="96" spans="1:14" ht="13.5" customHeight="1" x14ac:dyDescent="0.25">
      <c r="K96" s="3" t="s">
        <v>66</v>
      </c>
      <c r="M96" s="1">
        <v>1</v>
      </c>
      <c r="N96" s="1" t="str">
        <f>IF(Cotação!B8="","",AND(SMALL(Comparativo!D34:K34,1)=Comparativo!E34,Comparativo!A43='NÃO EXLUIR'!M84))</f>
        <v/>
      </c>
    </row>
    <row r="97" spans="11:14" ht="13.5" customHeight="1" x14ac:dyDescent="0.25">
      <c r="K97" s="3" t="s">
        <v>67</v>
      </c>
      <c r="M97" s="1">
        <v>2</v>
      </c>
      <c r="N97" s="1" t="str">
        <f>IF(Cotação!B8="","",AND(SMALL(Comparativo!D34:K34,1)=Comparativo!G34,Comparativo!A43='NÃO EXLUIR'!M84))</f>
        <v/>
      </c>
    </row>
    <row r="98" spans="11:14" ht="13.5" customHeight="1" x14ac:dyDescent="0.25">
      <c r="K98" s="3" t="s">
        <v>68</v>
      </c>
      <c r="M98" s="1">
        <v>3</v>
      </c>
      <c r="N98" s="1" t="str">
        <f>IF(Cotação!B8="","",AND(SMALL(Comparativo!D34:K34,1)=Comparativo!I34,Comparativo!A43='NÃO EXLUIR'!M84))</f>
        <v/>
      </c>
    </row>
    <row r="99" spans="11:14" ht="13.5" customHeight="1" x14ac:dyDescent="0.25">
      <c r="K99" s="3" t="s">
        <v>69</v>
      </c>
      <c r="M99" s="1">
        <v>4</v>
      </c>
      <c r="N99" s="1" t="str">
        <f>IF(Cotação!B8="","",AND(SMALL(Comparativo!D34:K34,1)=Comparativo!K34,Comparativo!A43='NÃO EXLUIR'!M84))</f>
        <v/>
      </c>
    </row>
    <row r="100" spans="11:14" ht="13.5" customHeight="1" x14ac:dyDescent="0.25">
      <c r="K100" s="3" t="s">
        <v>70</v>
      </c>
    </row>
    <row r="101" spans="11:14" ht="13.5" customHeight="1" x14ac:dyDescent="0.25">
      <c r="K101" s="3" t="s">
        <v>71</v>
      </c>
      <c r="M101" s="1">
        <v>1</v>
      </c>
      <c r="N101" s="1" t="str">
        <f>IF(Cotação!B8="","",AND(SMALL(Comparativo!D34:K34,2)=Comparativo!E34,Comparativo!A43='NÃO EXLUIR'!M85))</f>
        <v/>
      </c>
    </row>
    <row r="102" spans="11:14" ht="13.5" customHeight="1" x14ac:dyDescent="0.25">
      <c r="K102" s="3" t="s">
        <v>72</v>
      </c>
      <c r="M102" s="1">
        <v>2</v>
      </c>
      <c r="N102" s="1" t="str">
        <f>IF(Cotação!B8="","",AND(SMALL(Comparativo!D34:K34,2)=Comparativo!G34,Comparativo!A43='NÃO EXLUIR'!M85))</f>
        <v/>
      </c>
    </row>
    <row r="103" spans="11:14" ht="13.5" customHeight="1" x14ac:dyDescent="0.25">
      <c r="K103" s="3" t="s">
        <v>73</v>
      </c>
      <c r="M103" s="1">
        <v>3</v>
      </c>
      <c r="N103" s="1" t="str">
        <f>IF(Cotação!B8="","",AND(SMALL(Comparativo!D34:K34,2)=Comparativo!I34,Comparativo!A43='NÃO EXLUIR'!M85))</f>
        <v/>
      </c>
    </row>
    <row r="104" spans="11:14" ht="13.5" customHeight="1" x14ac:dyDescent="0.25">
      <c r="K104" s="3" t="s">
        <v>74</v>
      </c>
      <c r="M104" s="1">
        <v>4</v>
      </c>
      <c r="N104" s="1" t="str">
        <f>IF(Cotação!B8="","",AND(SMALL(Comparativo!D34:K34,2)=Comparativo!K34,Comparativo!A43='NÃO EXLUIR'!M85))</f>
        <v/>
      </c>
    </row>
    <row r="105" spans="11:14" ht="13.5" customHeight="1" x14ac:dyDescent="0.25">
      <c r="K105" s="3" t="s">
        <v>75</v>
      </c>
    </row>
    <row r="106" spans="11:14" ht="13.5" customHeight="1" x14ac:dyDescent="0.25">
      <c r="K106" s="3" t="s">
        <v>76</v>
      </c>
      <c r="M106" s="1">
        <v>1</v>
      </c>
      <c r="N106" s="1" t="str">
        <f>IF(Cotação!B8="","",AND(SMALL(Comparativo!D34:K34,3)=Comparativo!E34,Comparativo!A43='NÃO EXLUIR'!M86))</f>
        <v/>
      </c>
    </row>
    <row r="107" spans="11:14" ht="13.5" customHeight="1" x14ac:dyDescent="0.25">
      <c r="K107" s="3" t="s">
        <v>77</v>
      </c>
      <c r="M107" s="1">
        <v>2</v>
      </c>
      <c r="N107" s="1" t="str">
        <f>IF(Cotação!B8="","",AND(SMALL(Comparativo!D34:K34,3)=Comparativo!G34,Comparativo!A43='NÃO EXLUIR'!M86))</f>
        <v/>
      </c>
    </row>
    <row r="108" spans="11:14" ht="13.5" customHeight="1" x14ac:dyDescent="0.25">
      <c r="K108" s="3" t="s">
        <v>78</v>
      </c>
      <c r="M108" s="1">
        <v>3</v>
      </c>
      <c r="N108" s="1" t="str">
        <f>IF(Cotação!B8="","",AND(SMALL(Comparativo!D34:K34,3)=Comparativo!I34,Comparativo!A43='NÃO EXLUIR'!M86))</f>
        <v/>
      </c>
    </row>
    <row r="109" spans="11:14" ht="13.5" customHeight="1" x14ac:dyDescent="0.25">
      <c r="K109" s="3" t="s">
        <v>79</v>
      </c>
      <c r="M109" s="1">
        <v>4</v>
      </c>
      <c r="N109" s="1" t="str">
        <f>IF(Cotação!B8="","",AND(SMALL(Comparativo!D34:K34,3)=Comparativo!K34,Comparativo!A43='NÃO EXLUIR'!M86))</f>
        <v/>
      </c>
    </row>
    <row r="110" spans="11:14" ht="13.5" customHeight="1" x14ac:dyDescent="0.25">
      <c r="K110" s="3" t="s">
        <v>80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Cotação</vt:lpstr>
      <vt:lpstr>Comparativo</vt:lpstr>
      <vt:lpstr>Resposta</vt:lpstr>
      <vt:lpstr>NÃO EXLUIR</vt:lpstr>
      <vt:lpstr>Comparativo!Area_de_impressao</vt:lpstr>
      <vt:lpstr>Cotação!Area_de_impressao</vt:lpstr>
      <vt:lpstr>Resposta!Area_de_impressao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Bruno Souza Gomes</cp:lastModifiedBy>
  <cp:lastPrinted>2018-09-19T11:16:17Z</cp:lastPrinted>
  <dcterms:created xsi:type="dcterms:W3CDTF">2012-07-27T16:56:19Z</dcterms:created>
  <dcterms:modified xsi:type="dcterms:W3CDTF">2026-06-12T16:12:24Z</dcterms:modified>
</cp:coreProperties>
</file>